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36" windowWidth="12420" windowHeight="5304" tabRatio="844" activeTab="3"/>
  </bookViews>
  <sheets>
    <sheet name="YPS " sheetId="1" r:id="rId1"/>
    <sheet name=" ALP" sheetId="3" r:id="rId2"/>
    <sheet name="Conflict of Interest" sheetId="5" r:id="rId3"/>
    <sheet name=" TPP" sheetId="6" r:id="rId4"/>
    <sheet name="Therap Day Model I" sheetId="7" r:id="rId5"/>
    <sheet name="Therap Day Model II" sheetId="8" r:id="rId6"/>
    <sheet name="Therap Day Model III" sheetId="9" r:id="rId7"/>
    <sheet name="Therap Day Model IV" sheetId="10" r:id="rId8"/>
    <sheet name="Staff Add-on Rates" sheetId="12" r:id="rId9"/>
    <sheet name="CAF " sheetId="2" r:id="rId10"/>
    <sheet name="Chart" sheetId="4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asdfasdf" localSheetId="1">#REF!</definedName>
    <definedName name="asdfasdf" localSheetId="3">#REF!</definedName>
    <definedName name="asdfasdf" localSheetId="10">#REF!</definedName>
    <definedName name="asdfasdf" localSheetId="4">#REF!</definedName>
    <definedName name="asdfasdf" localSheetId="0">#REF!</definedName>
    <definedName name="asdfasdf">#REF!</definedName>
    <definedName name="Average" localSheetId="1">#REF!</definedName>
    <definedName name="Average" localSheetId="3">#REF!</definedName>
    <definedName name="Average" localSheetId="10">#REF!</definedName>
    <definedName name="Average" localSheetId="4">#REF!</definedName>
    <definedName name="Average" localSheetId="0">#REF!</definedName>
    <definedName name="Average">#REF!</definedName>
    <definedName name="CAF_NEW" localSheetId="1">[10]RawDataCalcs!$L$70:$DB$70</definedName>
    <definedName name="CAF_NEW" localSheetId="10">[10]RawDataCalcs!$L$70:$DB$70</definedName>
    <definedName name="CAF_NEW">[2]RawDataCalcs!$L$70:$DB$70</definedName>
    <definedName name="Cap" localSheetId="1">[11]RawDataCalcs!$L$70:$DB$70</definedName>
    <definedName name="Cap" localSheetId="10">[11]RawDataCalcs!$L$70:$DB$70</definedName>
    <definedName name="Cap">[3]RawDataCalcs!$L$70:$DB$70</definedName>
    <definedName name="Data" localSheetId="1">#REF!</definedName>
    <definedName name="Data" localSheetId="3">#REF!</definedName>
    <definedName name="Data" localSheetId="10">#REF!</definedName>
    <definedName name="Data" localSheetId="4">#REF!</definedName>
    <definedName name="Data" localSheetId="0">#REF!</definedName>
    <definedName name="Data">#REF!</definedName>
    <definedName name="Floor" localSheetId="1">[11]RawDataCalcs!$L$69:$DB$69</definedName>
    <definedName name="Floor" localSheetId="10">[11]RawDataCalcs!$L$69:$DB$69</definedName>
    <definedName name="Floor">[3]RawDataCalcs!$L$69:$DB$69</definedName>
    <definedName name="Funds" localSheetId="1">'[12]RawDataCalcs3386&amp;3401'!$L$68:$DB$68</definedName>
    <definedName name="Funds" localSheetId="10">'[12]RawDataCalcs3386&amp;3401'!$L$68:$DB$68</definedName>
    <definedName name="Funds">'[4]RawDataCalcs3386&amp;3401'!$L$68:$DB$68</definedName>
    <definedName name="gk" localSheetId="1">#REF!</definedName>
    <definedName name="gk" localSheetId="3">#REF!</definedName>
    <definedName name="gk" localSheetId="10">#REF!</definedName>
    <definedName name="gk" localSheetId="2">#REF!</definedName>
    <definedName name="gk" localSheetId="4">#REF!</definedName>
    <definedName name="gk" localSheetId="0">#REF!</definedName>
    <definedName name="gk">#REF!</definedName>
    <definedName name="hhh" localSheetId="1">#REF!</definedName>
    <definedName name="hhh" localSheetId="3">#REF!</definedName>
    <definedName name="hhh" localSheetId="10">#REF!</definedName>
    <definedName name="hhh" localSheetId="4">#REF!</definedName>
    <definedName name="hhh" localSheetId="0">#REF!</definedName>
    <definedName name="hhh">#REF!</definedName>
    <definedName name="JailDAverage" localSheetId="1">#REF!</definedName>
    <definedName name="JailDAverage" localSheetId="3">#REF!</definedName>
    <definedName name="JailDAverage" localSheetId="10">#REF!</definedName>
    <definedName name="JailDAverage" localSheetId="4">#REF!</definedName>
    <definedName name="JailDAverage" localSheetId="0">#REF!</definedName>
    <definedName name="JailDAverage">#REF!</definedName>
    <definedName name="JailDCap" localSheetId="1">[13]ALLRawDataCalcs!$L$80:$DB$80</definedName>
    <definedName name="JailDCap" localSheetId="10">[13]ALLRawDataCalcs!$L$80:$DB$80</definedName>
    <definedName name="JailDCap">[5]ALLRawDataCalcs!$L$80:$DB$80</definedName>
    <definedName name="JailDFloor" localSheetId="1">[13]ALLRawDataCalcs!$L$79:$DB$79</definedName>
    <definedName name="JailDFloor" localSheetId="10">[13]ALLRawDataCalcs!$L$79:$DB$79</definedName>
    <definedName name="JailDFloor">[5]ALLRawDataCalcs!$L$79:$DB$79</definedName>
    <definedName name="JailDgk" localSheetId="1">#REF!</definedName>
    <definedName name="JailDgk" localSheetId="3">#REF!</definedName>
    <definedName name="JailDgk" localSheetId="10">#REF!</definedName>
    <definedName name="JailDgk" localSheetId="4">#REF!</definedName>
    <definedName name="JailDgk" localSheetId="0">#REF!</definedName>
    <definedName name="JailDgk">#REF!</definedName>
    <definedName name="JailDMax" localSheetId="1">#REF!</definedName>
    <definedName name="JailDMax" localSheetId="3">#REF!</definedName>
    <definedName name="JailDMax" localSheetId="10">#REF!</definedName>
    <definedName name="JailDMax" localSheetId="4">#REF!</definedName>
    <definedName name="JailDMax" localSheetId="0">#REF!</definedName>
    <definedName name="JailDMax">#REF!</definedName>
    <definedName name="JailDMedian" localSheetId="1">#REF!</definedName>
    <definedName name="JailDMedian" localSheetId="3">#REF!</definedName>
    <definedName name="JailDMedian" localSheetId="10">#REF!</definedName>
    <definedName name="JailDMedian" localSheetId="4">#REF!</definedName>
    <definedName name="JailDMedian" localSheetId="0">#REF!</definedName>
    <definedName name="JailDMedian">#REF!</definedName>
    <definedName name="kls" localSheetId="1">#REF!</definedName>
    <definedName name="kls" localSheetId="3">#REF!</definedName>
    <definedName name="kls" localSheetId="10">#REF!</definedName>
    <definedName name="kls" localSheetId="4">#REF!</definedName>
    <definedName name="kls" localSheetId="0">#REF!</definedName>
    <definedName name="kls">#REF!</definedName>
    <definedName name="ListProviders">'[6]List of Programs'!$A$24:$A$29</definedName>
    <definedName name="Max" localSheetId="1">#REF!</definedName>
    <definedName name="Max" localSheetId="3">#REF!</definedName>
    <definedName name="Max" localSheetId="10">#REF!</definedName>
    <definedName name="Max" localSheetId="4">#REF!</definedName>
    <definedName name="Max" localSheetId="0">#REF!</definedName>
    <definedName name="Max">#REF!</definedName>
    <definedName name="Median" localSheetId="1">#REF!</definedName>
    <definedName name="Median" localSheetId="3">#REF!</definedName>
    <definedName name="Median" localSheetId="10">#REF!</definedName>
    <definedName name="Median" localSheetId="4">#REF!</definedName>
    <definedName name="Median" localSheetId="0">#REF!</definedName>
    <definedName name="Median">#REF!</definedName>
    <definedName name="Min" localSheetId="1">#REF!</definedName>
    <definedName name="Min" localSheetId="3">#REF!</definedName>
    <definedName name="Min" localSheetId="10">#REF!</definedName>
    <definedName name="Min" localSheetId="4">#REF!</definedName>
    <definedName name="Min" localSheetId="0">#REF!</definedName>
    <definedName name="Min">#REF!</definedName>
    <definedName name="MT" localSheetId="1">#REF!</definedName>
    <definedName name="MT" localSheetId="3">#REF!</definedName>
    <definedName name="MT" localSheetId="10">#REF!</definedName>
    <definedName name="MT" localSheetId="2">#REF!</definedName>
    <definedName name="MT" localSheetId="4">#REF!</definedName>
    <definedName name="MT" localSheetId="0">#REF!</definedName>
    <definedName name="MT">#REF!</definedName>
    <definedName name="new" localSheetId="1">#REF!</definedName>
    <definedName name="new" localSheetId="3">#REF!</definedName>
    <definedName name="new" localSheetId="10">#REF!</definedName>
    <definedName name="new" localSheetId="4">#REF!</definedName>
    <definedName name="new" localSheetId="0">#REF!</definedName>
    <definedName name="new">#REF!</definedName>
    <definedName name="ok" localSheetId="1">#REF!</definedName>
    <definedName name="ok" localSheetId="3">#REF!</definedName>
    <definedName name="ok" localSheetId="10">#REF!</definedName>
    <definedName name="ok" localSheetId="4">#REF!</definedName>
    <definedName name="ok" localSheetId="0">#REF!</definedName>
    <definedName name="ok">#REF!</definedName>
    <definedName name="_xlnm.Print_Area" localSheetId="1">' ALP'!$B$2:$S$33</definedName>
    <definedName name="_xlnm.Print_Area" localSheetId="3">' TPP'!$B$34:$J$55</definedName>
    <definedName name="_xlnm.Print_Area" localSheetId="10">Chart!$A$3:$G$30</definedName>
    <definedName name="_xlnm.Print_Area" localSheetId="2">'Conflict of Interest'!$B$2:$O$21</definedName>
    <definedName name="_xlnm.Print_Area" localSheetId="5">'Therap Day Model II'!$B$1:$K$60</definedName>
    <definedName name="_xlnm.Print_Area" localSheetId="6">'Therap Day Model III'!$B$1:$P$124</definedName>
    <definedName name="_xlnm.Print_Area" localSheetId="7">'Therap Day Model IV'!$B$1:$P$54</definedName>
    <definedName name="_xlnm.Print_Area" localSheetId="0">'YPS '!$B$2:$M$54</definedName>
    <definedName name="_xlnm.Print_Titles" localSheetId="9">'CAF '!$A:$A</definedName>
    <definedName name="Program_File" localSheetId="1">#REF!</definedName>
    <definedName name="Program_File" localSheetId="3">#REF!</definedName>
    <definedName name="Program_File" localSheetId="10">#REF!</definedName>
    <definedName name="Program_File" localSheetId="4">#REF!</definedName>
    <definedName name="Program_File" localSheetId="0">#REF!</definedName>
    <definedName name="Program_File">#REF!</definedName>
    <definedName name="Programs">'[6]List of Programs'!$B$3:$B$19</definedName>
    <definedName name="ProvFTE" localSheetId="1">'[14]FTE Data'!$A$3:$AW$56</definedName>
    <definedName name="ProvFTE" localSheetId="10">'[14]FTE Data'!$A$3:$AW$56</definedName>
    <definedName name="ProvFTE">'[7]FTE Data'!$A$3:$AW$56</definedName>
    <definedName name="PurchasedBy" localSheetId="1">'[14]FTE Data'!$C$263:$AZ$657</definedName>
    <definedName name="PurchasedBy" localSheetId="10">'[14]FTE Data'!$C$263:$AZ$657</definedName>
    <definedName name="PurchasedBy">'[7]FTE Data'!$C$263:$AZ$657</definedName>
    <definedName name="resmay2007" localSheetId="1">#REF!</definedName>
    <definedName name="resmay2007" localSheetId="3">#REF!</definedName>
    <definedName name="resmay2007" localSheetId="10">#REF!</definedName>
    <definedName name="resmay2007" localSheetId="4">#REF!</definedName>
    <definedName name="resmay2007" localSheetId="0">#REF!</definedName>
    <definedName name="resmay2007">#REF!</definedName>
    <definedName name="Site_list" localSheetId="1">[14]Lists!$A$2:$A$53</definedName>
    <definedName name="Site_list" localSheetId="10">[14]Lists!$A$2:$A$53</definedName>
    <definedName name="Site_list">[7]Lists!$A$2:$A$53</definedName>
    <definedName name="Source" localSheetId="1">#REF!</definedName>
    <definedName name="Source" localSheetId="3">#REF!</definedName>
    <definedName name="Source" localSheetId="10">#REF!</definedName>
    <definedName name="Source" localSheetId="4">#REF!</definedName>
    <definedName name="Source" localSheetId="0">#REF!</definedName>
    <definedName name="Source">#REF!</definedName>
    <definedName name="Source_2" localSheetId="1">#REF!</definedName>
    <definedName name="Source_2" localSheetId="3">#REF!</definedName>
    <definedName name="Source_2" localSheetId="10">#REF!</definedName>
    <definedName name="Source_2" localSheetId="4">#REF!</definedName>
    <definedName name="Source_2" localSheetId="0">#REF!</definedName>
    <definedName name="Source_2">#REF!</definedName>
    <definedName name="SourcePathAndFileName" localSheetId="1">#REF!</definedName>
    <definedName name="SourcePathAndFileName" localSheetId="3">#REF!</definedName>
    <definedName name="SourcePathAndFileName" localSheetId="10">#REF!</definedName>
    <definedName name="SourcePathAndFileName" localSheetId="4">#REF!</definedName>
    <definedName name="SourcePathAndFileName" localSheetId="0">#REF!</definedName>
    <definedName name="SourcePathAndFileName">#REF!</definedName>
    <definedName name="Total_UFR" localSheetId="1">#REF!</definedName>
    <definedName name="Total_UFR" localSheetId="3">#REF!</definedName>
    <definedName name="Total_UFR" localSheetId="10">#REF!</definedName>
    <definedName name="Total_UFR" localSheetId="2">#REF!</definedName>
    <definedName name="Total_UFR" localSheetId="4">#REF!</definedName>
    <definedName name="Total_UFR" localSheetId="0">#REF!</definedName>
    <definedName name="Total_UFR">#REF!</definedName>
    <definedName name="Total_UFRs" localSheetId="1">#REF!</definedName>
    <definedName name="Total_UFRs" localSheetId="3">#REF!</definedName>
    <definedName name="Total_UFRs" localSheetId="10">#REF!</definedName>
    <definedName name="Total_UFRs" localSheetId="4">#REF!</definedName>
    <definedName name="Total_UFRs" localSheetId="0">#REF!</definedName>
    <definedName name="Total_UFRs">#REF!</definedName>
    <definedName name="Total_UFRs_" localSheetId="1">#REF!</definedName>
    <definedName name="Total_UFRs_" localSheetId="3">#REF!</definedName>
    <definedName name="Total_UFRs_" localSheetId="10">#REF!</definedName>
    <definedName name="Total_UFRs_" localSheetId="4">#REF!</definedName>
    <definedName name="Total_UFRs_" localSheetId="0">#REF!</definedName>
    <definedName name="Total_UFRs_">#REF!</definedName>
    <definedName name="UFR" localSheetId="3">'[8]Complete UFR List'!#REF!</definedName>
    <definedName name="UFR" localSheetId="2">'[8]Complete UFR List'!#REF!</definedName>
    <definedName name="UFR" localSheetId="0">'[8]Complete UFR List'!#REF!</definedName>
    <definedName name="UFR">'[8]Complete UFR List'!#REF!</definedName>
    <definedName name="UFRS" localSheetId="3">'[8]Complete UFR List'!#REF!</definedName>
    <definedName name="UFRS" localSheetId="2">'[8]Complete UFR List'!#REF!</definedName>
    <definedName name="UFRS" localSheetId="0">'[8]Complete UFR List'!#REF!</definedName>
    <definedName name="UFRS">'[8]Complete UFR List'!#REF!</definedName>
  </definedNames>
  <calcPr calcId="145621"/>
</workbook>
</file>

<file path=xl/calcChain.xml><?xml version="1.0" encoding="utf-8"?>
<calcChain xmlns="http://schemas.openxmlformats.org/spreadsheetml/2006/main">
  <c r="D7" i="12" l="1"/>
  <c r="D4" i="12"/>
  <c r="D5" i="12" s="1"/>
  <c r="D6" i="12" s="1"/>
  <c r="C4" i="12"/>
  <c r="C5" i="12" s="1"/>
  <c r="C6" i="12" s="1"/>
  <c r="B4" i="12"/>
  <c r="B3" i="12"/>
  <c r="B7" i="12" s="1"/>
  <c r="G24" i="10"/>
  <c r="P23" i="10"/>
  <c r="M23" i="10"/>
  <c r="O22" i="10"/>
  <c r="I23" i="10" s="1"/>
  <c r="N21" i="10"/>
  <c r="I21" i="10"/>
  <c r="O20" i="10"/>
  <c r="J19" i="10" s="1"/>
  <c r="N20" i="10"/>
  <c r="P19" i="10"/>
  <c r="N19" i="10"/>
  <c r="E19" i="10"/>
  <c r="O18" i="10"/>
  <c r="N18" i="10"/>
  <c r="I17" i="10"/>
  <c r="J17" i="10" s="1"/>
  <c r="D17" i="10"/>
  <c r="E17" i="10" s="1"/>
  <c r="N16" i="10"/>
  <c r="N14" i="10"/>
  <c r="N13" i="10"/>
  <c r="I13" i="10"/>
  <c r="G13" i="10"/>
  <c r="D13" i="10"/>
  <c r="N12" i="10"/>
  <c r="I12" i="10"/>
  <c r="D12" i="10"/>
  <c r="N11" i="10"/>
  <c r="I10" i="10"/>
  <c r="J16" i="10" s="1"/>
  <c r="D10" i="10"/>
  <c r="E16" i="10" s="1"/>
  <c r="O9" i="10"/>
  <c r="N9" i="10"/>
  <c r="O8" i="10"/>
  <c r="N8" i="10"/>
  <c r="H8" i="10"/>
  <c r="J8" i="10" s="1"/>
  <c r="C8" i="10"/>
  <c r="E8" i="10" s="1"/>
  <c r="O7" i="10"/>
  <c r="N7" i="10"/>
  <c r="H7" i="10"/>
  <c r="J7" i="10" s="1"/>
  <c r="C7" i="10"/>
  <c r="E7" i="10" s="1"/>
  <c r="O6" i="10"/>
  <c r="M6" i="10"/>
  <c r="G6" i="10" s="1"/>
  <c r="H6" i="10"/>
  <c r="J6" i="10" s="1"/>
  <c r="E6" i="10"/>
  <c r="C6" i="10"/>
  <c r="B6" i="10"/>
  <c r="N5" i="10"/>
  <c r="H5" i="10"/>
  <c r="J5" i="10" s="1"/>
  <c r="G5" i="10"/>
  <c r="E5" i="10"/>
  <c r="C5" i="10"/>
  <c r="B5" i="10"/>
  <c r="B107" i="9"/>
  <c r="B102" i="9"/>
  <c r="B101" i="9"/>
  <c r="B97" i="9"/>
  <c r="G26" i="9"/>
  <c r="B25" i="9"/>
  <c r="G25" i="9" s="1"/>
  <c r="P24" i="9"/>
  <c r="M24" i="9"/>
  <c r="O23" i="9"/>
  <c r="I24" i="9" s="1"/>
  <c r="P22" i="9"/>
  <c r="P21" i="10" s="1"/>
  <c r="N22" i="9"/>
  <c r="I22" i="9"/>
  <c r="D22" i="9"/>
  <c r="N21" i="9"/>
  <c r="P20" i="9"/>
  <c r="N20" i="9"/>
  <c r="J20" i="9"/>
  <c r="E20" i="9"/>
  <c r="O19" i="9"/>
  <c r="N19" i="9"/>
  <c r="I18" i="9"/>
  <c r="J18" i="9" s="1"/>
  <c r="D18" i="9"/>
  <c r="N17" i="9"/>
  <c r="I17" i="9"/>
  <c r="D17" i="9"/>
  <c r="N15" i="9"/>
  <c r="N14" i="9"/>
  <c r="I14" i="9"/>
  <c r="D14" i="9"/>
  <c r="N13" i="9"/>
  <c r="I13" i="9"/>
  <c r="D13" i="9"/>
  <c r="N12" i="9"/>
  <c r="I11" i="9"/>
  <c r="J17" i="9" s="1"/>
  <c r="D11" i="9"/>
  <c r="E17" i="9" s="1"/>
  <c r="O10" i="9"/>
  <c r="H9" i="9" s="1"/>
  <c r="N10" i="9"/>
  <c r="O9" i="9"/>
  <c r="H7" i="9" s="1"/>
  <c r="N9" i="9"/>
  <c r="O8" i="9"/>
  <c r="H8" i="9" s="1"/>
  <c r="O7" i="9"/>
  <c r="H6" i="9" s="1"/>
  <c r="N7" i="9"/>
  <c r="N6" i="9"/>
  <c r="G6" i="9"/>
  <c r="C6" i="9"/>
  <c r="E6" i="9" s="1"/>
  <c r="B6" i="9"/>
  <c r="K24" i="8"/>
  <c r="J23" i="8"/>
  <c r="D24" i="8" s="1"/>
  <c r="I22" i="8"/>
  <c r="D22" i="8"/>
  <c r="J21" i="8"/>
  <c r="I21" i="8"/>
  <c r="J20" i="8"/>
  <c r="E19" i="8" s="1"/>
  <c r="I20" i="8"/>
  <c r="E20" i="8"/>
  <c r="J19" i="8"/>
  <c r="I19" i="8"/>
  <c r="E18" i="8"/>
  <c r="D18" i="8"/>
  <c r="I17" i="8"/>
  <c r="D17" i="8"/>
  <c r="E17" i="8" s="1"/>
  <c r="I15" i="8"/>
  <c r="I14" i="8"/>
  <c r="D14" i="8"/>
  <c r="I13" i="8"/>
  <c r="D13" i="8"/>
  <c r="I12" i="8"/>
  <c r="D11" i="8"/>
  <c r="J10" i="8"/>
  <c r="C9" i="8" s="1"/>
  <c r="E9" i="8" s="1"/>
  <c r="I10" i="8"/>
  <c r="J9" i="8"/>
  <c r="C7" i="8" s="1"/>
  <c r="E7" i="8" s="1"/>
  <c r="I9" i="8"/>
  <c r="J8" i="8"/>
  <c r="I8" i="8"/>
  <c r="H8" i="8"/>
  <c r="M8" i="9" s="1"/>
  <c r="G8" i="9" s="1"/>
  <c r="B8" i="9" s="1"/>
  <c r="C8" i="8"/>
  <c r="E8" i="8" s="1"/>
  <c r="J7" i="8"/>
  <c r="C6" i="8" s="1"/>
  <c r="E6" i="8" s="1"/>
  <c r="I7" i="8"/>
  <c r="J6" i="8"/>
  <c r="O6" i="9" s="1"/>
  <c r="I6" i="8"/>
  <c r="B6" i="8"/>
  <c r="C5" i="8"/>
  <c r="E5" i="8" s="1"/>
  <c r="J21" i="7"/>
  <c r="D23" i="7" s="1"/>
  <c r="D21" i="7"/>
  <c r="I20" i="7"/>
  <c r="J19" i="7"/>
  <c r="I19" i="7"/>
  <c r="E19" i="7"/>
  <c r="I18" i="7"/>
  <c r="E18" i="7"/>
  <c r="J17" i="7"/>
  <c r="D17" i="7" s="1"/>
  <c r="E17" i="7" s="1"/>
  <c r="I17" i="7"/>
  <c r="D16" i="7"/>
  <c r="I15" i="7"/>
  <c r="I13" i="7"/>
  <c r="D13" i="7"/>
  <c r="I12" i="7"/>
  <c r="D12" i="7"/>
  <c r="I11" i="7"/>
  <c r="D10" i="7"/>
  <c r="E16" i="7" s="1"/>
  <c r="J9" i="7"/>
  <c r="I9" i="7"/>
  <c r="J8" i="7"/>
  <c r="I8" i="7"/>
  <c r="C8" i="7"/>
  <c r="E8" i="7" s="1"/>
  <c r="J7" i="7"/>
  <c r="E7" i="7"/>
  <c r="C7" i="7"/>
  <c r="B7" i="7"/>
  <c r="I6" i="7"/>
  <c r="E6" i="7"/>
  <c r="C6" i="7"/>
  <c r="E5" i="7"/>
  <c r="E10" i="7" s="1"/>
  <c r="E12" i="7" s="1"/>
  <c r="E14" i="7" s="1"/>
  <c r="E20" i="7" s="1"/>
  <c r="C5" i="7"/>
  <c r="C8" i="12" l="1"/>
  <c r="D8" i="12"/>
  <c r="B5" i="12"/>
  <c r="B6" i="12" s="1"/>
  <c r="B8" i="12" s="1"/>
  <c r="E11" i="8"/>
  <c r="E14" i="8" s="1"/>
  <c r="J8" i="9"/>
  <c r="C8" i="9"/>
  <c r="E8" i="9" s="1"/>
  <c r="J7" i="9"/>
  <c r="J9" i="9"/>
  <c r="O5" i="10"/>
  <c r="H5" i="9"/>
  <c r="C5" i="9"/>
  <c r="E5" i="9" s="1"/>
  <c r="J6" i="9"/>
  <c r="B8" i="8"/>
  <c r="C7" i="9"/>
  <c r="E7" i="9" s="1"/>
  <c r="C9" i="9"/>
  <c r="E9" i="9" s="1"/>
  <c r="E18" i="9"/>
  <c r="O19" i="10"/>
  <c r="O20" i="9"/>
  <c r="D24" i="9"/>
  <c r="D23" i="10"/>
  <c r="E22" i="7"/>
  <c r="E21" i="7"/>
  <c r="E13" i="7"/>
  <c r="B10" i="12" l="1"/>
  <c r="D10" i="12"/>
  <c r="C10" i="12"/>
  <c r="E19" i="9"/>
  <c r="J19" i="9"/>
  <c r="J5" i="9"/>
  <c r="J11" i="9" s="1"/>
  <c r="E13" i="8"/>
  <c r="E15" i="8" s="1"/>
  <c r="E21" i="8" s="1"/>
  <c r="E18" i="10"/>
  <c r="J18" i="10"/>
  <c r="E11" i="9"/>
  <c r="H4" i="10"/>
  <c r="J4" i="10" s="1"/>
  <c r="J10" i="10" s="1"/>
  <c r="C4" i="10"/>
  <c r="E4" i="10" s="1"/>
  <c r="E10" i="10" s="1"/>
  <c r="E24" i="7"/>
  <c r="E25" i="7" s="1"/>
  <c r="E23" i="7"/>
  <c r="C13" i="12" l="1"/>
  <c r="C12" i="12"/>
  <c r="C11" i="12"/>
  <c r="B13" i="12"/>
  <c r="B12" i="12"/>
  <c r="B11" i="12"/>
  <c r="D13" i="12"/>
  <c r="D12" i="12"/>
  <c r="D11" i="12"/>
  <c r="E12" i="10"/>
  <c r="E14" i="10" s="1"/>
  <c r="E20" i="10" s="1"/>
  <c r="E13" i="10"/>
  <c r="E14" i="9"/>
  <c r="E13" i="9"/>
  <c r="E15" i="9" s="1"/>
  <c r="E21" i="9" s="1"/>
  <c r="J14" i="9"/>
  <c r="J13" i="9"/>
  <c r="J15" i="9" s="1"/>
  <c r="J21" i="9" s="1"/>
  <c r="J13" i="10"/>
  <c r="J12" i="10"/>
  <c r="J14" i="10" s="1"/>
  <c r="J20" i="10" s="1"/>
  <c r="E22" i="8"/>
  <c r="E23" i="8" s="1"/>
  <c r="E24" i="8" l="1"/>
  <c r="E25" i="8" s="1"/>
  <c r="E26" i="8" s="1"/>
  <c r="J21" i="10"/>
  <c r="J22" i="10" s="1"/>
  <c r="E22" i="10"/>
  <c r="E21" i="10"/>
  <c r="J22" i="9"/>
  <c r="J23" i="9" s="1"/>
  <c r="E22" i="9"/>
  <c r="E23" i="9" s="1"/>
  <c r="J24" i="9" l="1"/>
  <c r="J25" i="9" s="1"/>
  <c r="J26" i="9" s="1"/>
  <c r="E24" i="9"/>
  <c r="E25" i="9" s="1"/>
  <c r="E26" i="9" s="1"/>
  <c r="J23" i="10"/>
  <c r="J24" i="10" s="1"/>
  <c r="J25" i="10" s="1"/>
  <c r="E23" i="10"/>
  <c r="E24" i="10" s="1"/>
  <c r="E25" i="10" s="1"/>
  <c r="B52" i="6" l="1"/>
  <c r="D50" i="6"/>
  <c r="B46" i="6"/>
  <c r="D42" i="6"/>
  <c r="D41" i="6"/>
  <c r="D39" i="6"/>
  <c r="B37" i="6"/>
  <c r="D23" i="6"/>
  <c r="I33" i="6" s="1"/>
  <c r="B23" i="6"/>
  <c r="G33" i="6" s="1"/>
  <c r="D21" i="6"/>
  <c r="I20" i="6"/>
  <c r="B16" i="6"/>
  <c r="G26" i="6" s="1"/>
  <c r="M14" i="6"/>
  <c r="D52" i="6" s="1"/>
  <c r="D13" i="6"/>
  <c r="I23" i="6" s="1"/>
  <c r="D12" i="6"/>
  <c r="I22" i="6" s="1"/>
  <c r="D10" i="6"/>
  <c r="M7" i="6"/>
  <c r="C8" i="6" s="1"/>
  <c r="H18" i="6" s="1"/>
  <c r="J18" i="6" s="1"/>
  <c r="M6" i="6"/>
  <c r="C37" i="6" s="1"/>
  <c r="E37" i="6" s="1"/>
  <c r="M5" i="6"/>
  <c r="C36" i="6" s="1"/>
  <c r="E36" i="6" s="1"/>
  <c r="E39" i="6" s="1"/>
  <c r="G3" i="6"/>
  <c r="E3" i="6" s="1"/>
  <c r="J13" i="6" s="1"/>
  <c r="C6" i="6" l="1"/>
  <c r="H16" i="6" s="1"/>
  <c r="J16" i="6" s="1"/>
  <c r="C7" i="6"/>
  <c r="H17" i="6" s="1"/>
  <c r="J17" i="6" s="1"/>
  <c r="E42" i="6"/>
  <c r="E41" i="6"/>
  <c r="E43" i="6" s="1"/>
  <c r="J20" i="6"/>
  <c r="I31" i="6"/>
  <c r="E6" i="6"/>
  <c r="E7" i="6"/>
  <c r="E8" i="6"/>
  <c r="J23" i="6" l="1"/>
  <c r="J22" i="6"/>
  <c r="J24" i="6" s="1"/>
  <c r="E10" i="6"/>
  <c r="E13" i="6" l="1"/>
  <c r="E12" i="6"/>
  <c r="E14" i="6" s="1"/>
  <c r="M11" i="6" l="1"/>
  <c r="M12" i="6" l="1"/>
  <c r="D16" i="6"/>
  <c r="D46" i="6"/>
  <c r="E46" i="6" s="1"/>
  <c r="D18" i="6" l="1"/>
  <c r="D47" i="6"/>
  <c r="E47" i="6" s="1"/>
  <c r="M10" i="6"/>
  <c r="I26" i="6"/>
  <c r="J26" i="6" s="1"/>
  <c r="E16" i="6"/>
  <c r="D45" i="6" l="1"/>
  <c r="E45" i="6" s="1"/>
  <c r="E49" i="6" s="1"/>
  <c r="D17" i="6"/>
  <c r="I28" i="6"/>
  <c r="J28" i="6" s="1"/>
  <c r="E18" i="6"/>
  <c r="E50" i="6" l="1"/>
  <c r="E51" i="6" s="1"/>
  <c r="I27" i="6"/>
  <c r="J27" i="6" s="1"/>
  <c r="J30" i="6" s="1"/>
  <c r="E17" i="6"/>
  <c r="E20" i="6" s="1"/>
  <c r="E52" i="6" l="1"/>
  <c r="E53" i="6" s="1"/>
  <c r="E21" i="6"/>
  <c r="E22" i="6" s="1"/>
  <c r="J31" i="6"/>
  <c r="J32" i="6" s="1"/>
  <c r="E23" i="6" l="1"/>
  <c r="E24" i="6" s="1"/>
  <c r="E25" i="6" s="1"/>
  <c r="J33" i="6"/>
  <c r="J34" i="6" s="1"/>
  <c r="J35" i="6" s="1"/>
  <c r="E55" i="6"/>
  <c r="E54" i="6"/>
  <c r="E27" i="6" l="1"/>
  <c r="E26" i="6"/>
  <c r="E28" i="6"/>
  <c r="E56" i="6"/>
  <c r="R25" i="5" l="1"/>
  <c r="R23" i="5"/>
  <c r="T22" i="5"/>
  <c r="T23" i="5" s="1"/>
  <c r="T24" i="5" s="1"/>
  <c r="T25" i="5" s="1"/>
  <c r="T27" i="5" s="1"/>
  <c r="R20" i="5"/>
  <c r="G19" i="5"/>
  <c r="L19" i="5" s="1"/>
  <c r="M17" i="5"/>
  <c r="H17" i="5"/>
  <c r="C14" i="5"/>
  <c r="H19" i="5" s="1"/>
  <c r="T15" i="5"/>
  <c r="T14" i="5"/>
  <c r="T13" i="5"/>
  <c r="T12" i="5"/>
  <c r="M12" i="5"/>
  <c r="H12" i="5"/>
  <c r="M11" i="5"/>
  <c r="H11" i="5"/>
  <c r="C11" i="5"/>
  <c r="H15" i="5" s="1"/>
  <c r="J15" i="5" s="1"/>
  <c r="N9" i="5"/>
  <c r="I9" i="5"/>
  <c r="T8" i="5"/>
  <c r="G8" i="5"/>
  <c r="L8" i="5" s="1"/>
  <c r="T7" i="5"/>
  <c r="L7" i="5"/>
  <c r="G7" i="5"/>
  <c r="L6" i="5"/>
  <c r="G6" i="5"/>
  <c r="C6" i="5"/>
  <c r="M8" i="5" s="1"/>
  <c r="O8" i="5" s="1"/>
  <c r="C5" i="5"/>
  <c r="M7" i="5" s="1"/>
  <c r="O7" i="5" s="1"/>
  <c r="C4" i="5"/>
  <c r="H6" i="5" s="1"/>
  <c r="J6" i="5" s="1"/>
  <c r="H7" i="5" l="1"/>
  <c r="J7" i="5" s="1"/>
  <c r="M15" i="5"/>
  <c r="O15" i="5" s="1"/>
  <c r="M19" i="5"/>
  <c r="M6" i="5"/>
  <c r="O6" i="5" s="1"/>
  <c r="O9" i="5" s="1"/>
  <c r="R6" i="5"/>
  <c r="T6" i="5" s="1"/>
  <c r="T9" i="5" s="1"/>
  <c r="H8" i="5"/>
  <c r="J8" i="5" s="1"/>
  <c r="J9" i="5" s="1"/>
  <c r="T11" i="5" l="1"/>
  <c r="T16" i="5" s="1"/>
  <c r="T17" i="5" s="1"/>
  <c r="T19" i="5" s="1"/>
  <c r="T20" i="5" s="1"/>
  <c r="T10" i="5"/>
  <c r="J12" i="5"/>
  <c r="J11" i="5"/>
  <c r="O12" i="5"/>
  <c r="O11" i="5"/>
  <c r="O13" i="5" l="1"/>
  <c r="O16" i="5" s="1"/>
  <c r="O17" i="5" s="1"/>
  <c r="O18" i="5" s="1"/>
  <c r="O19" i="5" s="1"/>
  <c r="O20" i="5" s="1"/>
  <c r="O21" i="5" s="1"/>
  <c r="J13" i="5"/>
  <c r="J16" i="5" s="1"/>
  <c r="J17" i="5" s="1"/>
  <c r="J18" i="5" s="1"/>
  <c r="J19" i="5" s="1"/>
  <c r="J20" i="5" s="1"/>
  <c r="J21" i="5" s="1"/>
  <c r="C24" i="4" l="1"/>
  <c r="H23" i="4"/>
  <c r="D23" i="4"/>
  <c r="D24" i="4" s="1"/>
  <c r="C22" i="4"/>
  <c r="H21" i="4"/>
  <c r="D21" i="4"/>
  <c r="D22" i="4" s="1"/>
  <c r="C20" i="4"/>
  <c r="H19" i="4"/>
  <c r="D19" i="4"/>
  <c r="D20" i="4" s="1"/>
  <c r="C18" i="4"/>
  <c r="H17" i="4"/>
  <c r="D17" i="4"/>
  <c r="D18" i="4" s="1"/>
  <c r="C16" i="4"/>
  <c r="H15" i="4"/>
  <c r="D15" i="4"/>
  <c r="D16" i="4" s="1"/>
  <c r="C14" i="4"/>
  <c r="H13" i="4"/>
  <c r="D13" i="4"/>
  <c r="D14" i="4" s="1"/>
  <c r="C12" i="4"/>
  <c r="D11" i="4"/>
  <c r="D12" i="4" s="1"/>
  <c r="C10" i="4"/>
  <c r="H9" i="4"/>
  <c r="D9" i="4"/>
  <c r="D10" i="4" s="1"/>
  <c r="C8" i="4"/>
  <c r="H7" i="4"/>
  <c r="D7" i="4"/>
  <c r="D8" i="4" s="1"/>
  <c r="C6" i="4"/>
  <c r="H5" i="4"/>
  <c r="D5" i="4"/>
  <c r="D6" i="4" s="1"/>
  <c r="P28" i="3"/>
  <c r="F28" i="3"/>
  <c r="K28" i="3" s="1"/>
  <c r="Q26" i="3"/>
  <c r="L26" i="3"/>
  <c r="G26" i="3"/>
  <c r="C25" i="3"/>
  <c r="L28" i="3" s="1"/>
  <c r="I24" i="3"/>
  <c r="C23" i="3"/>
  <c r="N24" i="3" s="1"/>
  <c r="C22" i="3"/>
  <c r="H23" i="3" s="1"/>
  <c r="M23" i="3" s="1"/>
  <c r="C21" i="3"/>
  <c r="H22" i="3" s="1"/>
  <c r="C20" i="3"/>
  <c r="H21" i="3" s="1"/>
  <c r="M21" i="3" s="1"/>
  <c r="C19" i="3"/>
  <c r="H20" i="3" s="1"/>
  <c r="P18" i="3"/>
  <c r="K18" i="3"/>
  <c r="F18" i="3"/>
  <c r="C18" i="3"/>
  <c r="H19" i="3" s="1"/>
  <c r="M19" i="3" s="1"/>
  <c r="R19" i="3" s="1"/>
  <c r="C17" i="3"/>
  <c r="M18" i="3" s="1"/>
  <c r="C16" i="3"/>
  <c r="H17" i="3" s="1"/>
  <c r="G14" i="3"/>
  <c r="L14" i="3" s="1"/>
  <c r="Q14" i="3" s="1"/>
  <c r="Q13" i="3"/>
  <c r="L13" i="3"/>
  <c r="G13" i="3"/>
  <c r="B13" i="3"/>
  <c r="R12" i="3"/>
  <c r="M12" i="3"/>
  <c r="H12" i="3"/>
  <c r="I23" i="3" s="1"/>
  <c r="B12" i="3"/>
  <c r="B11" i="3"/>
  <c r="P10" i="3"/>
  <c r="K10" i="3"/>
  <c r="F10" i="3"/>
  <c r="F9" i="3"/>
  <c r="K9" i="3" s="1"/>
  <c r="P9" i="3" s="1"/>
  <c r="C9" i="3"/>
  <c r="L10" i="3" s="1"/>
  <c r="N10" i="3" s="1"/>
  <c r="P8" i="3"/>
  <c r="K8" i="3"/>
  <c r="F8" i="3"/>
  <c r="C8" i="3"/>
  <c r="Q9" i="3" s="1"/>
  <c r="S9" i="3" s="1"/>
  <c r="C7" i="3"/>
  <c r="G8" i="3" s="1"/>
  <c r="I8" i="3" s="1"/>
  <c r="C6" i="3"/>
  <c r="L7" i="3" s="1"/>
  <c r="N7" i="3" s="1"/>
  <c r="B6" i="3"/>
  <c r="K7" i="3" s="1"/>
  <c r="J19" i="4" l="1"/>
  <c r="G7" i="3"/>
  <c r="I7" i="3" s="1"/>
  <c r="Q7" i="3"/>
  <c r="S7" i="3" s="1"/>
  <c r="N19" i="3"/>
  <c r="N18" i="3"/>
  <c r="S24" i="3"/>
  <c r="J7" i="4"/>
  <c r="J15" i="4"/>
  <c r="J5" i="4"/>
  <c r="J9" i="4"/>
  <c r="J13" i="4"/>
  <c r="J17" i="4"/>
  <c r="J21" i="4"/>
  <c r="J23" i="4"/>
  <c r="I22" i="3"/>
  <c r="M22" i="3"/>
  <c r="I17" i="3"/>
  <c r="M17" i="3"/>
  <c r="I20" i="3"/>
  <c r="M20" i="3"/>
  <c r="R21" i="3"/>
  <c r="N21" i="3"/>
  <c r="R23" i="3"/>
  <c r="S23" i="3" s="1"/>
  <c r="N23" i="3"/>
  <c r="Q8" i="3"/>
  <c r="S8" i="3" s="1"/>
  <c r="F7" i="3"/>
  <c r="P7" i="3"/>
  <c r="L8" i="3"/>
  <c r="N8" i="3" s="1"/>
  <c r="L9" i="3"/>
  <c r="N9" i="3" s="1"/>
  <c r="G10" i="3"/>
  <c r="I10" i="3" s="1"/>
  <c r="Q10" i="3"/>
  <c r="S10" i="3" s="1"/>
  <c r="H18" i="3"/>
  <c r="I18" i="3" s="1"/>
  <c r="R18" i="3"/>
  <c r="S18" i="3" s="1"/>
  <c r="I19" i="3"/>
  <c r="S19" i="3"/>
  <c r="I21" i="3"/>
  <c r="S21" i="3"/>
  <c r="G28" i="3"/>
  <c r="Q28" i="3"/>
  <c r="G9" i="3"/>
  <c r="I9" i="3" s="1"/>
  <c r="I12" i="3" l="1"/>
  <c r="I13" i="3" s="1"/>
  <c r="S12" i="3"/>
  <c r="S13" i="3" s="1"/>
  <c r="N12" i="3"/>
  <c r="N14" i="3" s="1"/>
  <c r="S14" i="3"/>
  <c r="N22" i="3"/>
  <c r="R22" i="3"/>
  <c r="S22" i="3" s="1"/>
  <c r="N20" i="3"/>
  <c r="R20" i="3"/>
  <c r="S20" i="3" s="1"/>
  <c r="R17" i="3"/>
  <c r="S17" i="3" s="1"/>
  <c r="N17" i="3"/>
  <c r="I15" i="3" l="1"/>
  <c r="I25" i="3" s="1"/>
  <c r="I14" i="3"/>
  <c r="N13" i="3"/>
  <c r="S15" i="3"/>
  <c r="S25" i="3" s="1"/>
  <c r="N15" i="3"/>
  <c r="N25" i="3" s="1"/>
  <c r="N26" i="3" s="1"/>
  <c r="N27" i="3" s="1"/>
  <c r="S26" i="3"/>
  <c r="S27" i="3" s="1"/>
  <c r="I26" i="3"/>
  <c r="I27" i="3" s="1"/>
  <c r="S28" i="3" l="1"/>
  <c r="S29" i="3" s="1"/>
  <c r="S30" i="3" s="1"/>
  <c r="I28" i="3"/>
  <c r="I29" i="3" s="1"/>
  <c r="I30" i="3" s="1"/>
  <c r="N29" i="3"/>
  <c r="N30" i="3" s="1"/>
  <c r="N28" i="3"/>
  <c r="CA23" i="2" l="1"/>
  <c r="BR22" i="2"/>
  <c r="BR19" i="2"/>
  <c r="CA19" i="2" s="1"/>
  <c r="CA25" i="2" s="1"/>
  <c r="BR18" i="2"/>
  <c r="E51" i="1"/>
  <c r="E47" i="1"/>
  <c r="F47" i="1" s="1"/>
  <c r="E41" i="1"/>
  <c r="E40" i="1"/>
  <c r="E38" i="1"/>
  <c r="C35" i="1"/>
  <c r="C34" i="1"/>
  <c r="D33" i="1"/>
  <c r="F33" i="1" s="1"/>
  <c r="C25" i="1"/>
  <c r="C53" i="1" s="1"/>
  <c r="E23" i="1"/>
  <c r="L22" i="1"/>
  <c r="E53" i="1" s="1"/>
  <c r="K21" i="1"/>
  <c r="K20" i="1"/>
  <c r="K19" i="1"/>
  <c r="F19" i="1"/>
  <c r="E19" i="1"/>
  <c r="K18" i="1"/>
  <c r="K17" i="1"/>
  <c r="K16" i="1"/>
  <c r="K15" i="1"/>
  <c r="K13" i="1"/>
  <c r="E13" i="1"/>
  <c r="C13" i="1"/>
  <c r="C41" i="1" s="1"/>
  <c r="K12" i="1"/>
  <c r="E12" i="1"/>
  <c r="J11" i="1"/>
  <c r="K10" i="1"/>
  <c r="E10" i="1"/>
  <c r="L8" i="1"/>
  <c r="D36" i="1" s="1"/>
  <c r="F36" i="1" s="1"/>
  <c r="K8" i="1"/>
  <c r="L7" i="1"/>
  <c r="D35" i="1" s="1"/>
  <c r="F35" i="1" s="1"/>
  <c r="K7" i="1"/>
  <c r="C7" i="1"/>
  <c r="L6" i="1"/>
  <c r="D34" i="1" s="1"/>
  <c r="F34" i="1" s="1"/>
  <c r="F6" i="1"/>
  <c r="D6" i="1"/>
  <c r="K5" i="1"/>
  <c r="D5" i="1"/>
  <c r="F5" i="1" s="1"/>
  <c r="F38" i="1" l="1"/>
  <c r="D7" i="1"/>
  <c r="F7" i="1" s="1"/>
  <c r="F10" i="1" s="1"/>
  <c r="D8" i="1"/>
  <c r="F8" i="1" s="1"/>
  <c r="E25" i="1"/>
  <c r="F13" i="1" l="1"/>
  <c r="F12" i="1"/>
  <c r="F14" i="1" s="1"/>
  <c r="F40" i="1"/>
  <c r="F42" i="1" s="1"/>
  <c r="F41" i="1"/>
  <c r="L20" i="1" l="1"/>
  <c r="L16" i="1"/>
  <c r="L18" i="1"/>
  <c r="L17" i="1"/>
  <c r="E18" i="1" l="1"/>
  <c r="F18" i="1" s="1"/>
  <c r="E46" i="1"/>
  <c r="F46" i="1" s="1"/>
  <c r="E16" i="1"/>
  <c r="F16" i="1" s="1"/>
  <c r="E44" i="1"/>
  <c r="F44" i="1" s="1"/>
  <c r="E17" i="1"/>
  <c r="F17" i="1" s="1"/>
  <c r="E45" i="1"/>
  <c r="F45" i="1" s="1"/>
  <c r="E48" i="1"/>
  <c r="F48" i="1" s="1"/>
  <c r="E20" i="1"/>
  <c r="F20" i="1" s="1"/>
  <c r="F22" i="1" l="1"/>
  <c r="F50" i="1"/>
  <c r="F51" i="1" l="1"/>
  <c r="F52" i="1" s="1"/>
  <c r="F23" i="1"/>
  <c r="F24" i="1" s="1"/>
  <c r="F25" i="1" s="1"/>
  <c r="F26" i="1" s="1"/>
  <c r="F27" i="1" s="1"/>
  <c r="F53" i="1" l="1"/>
  <c r="F54" i="1" s="1"/>
  <c r="F55" i="1" s="1"/>
</calcChain>
</file>

<file path=xl/comments1.xml><?xml version="1.0" encoding="utf-8"?>
<comments xmlns="http://schemas.openxmlformats.org/spreadsheetml/2006/main">
  <authors>
    <author>kara</author>
  </authors>
  <commentList>
    <comment ref="B19" authorId="0">
      <text>
        <r>
          <rPr>
            <b/>
            <sz val="9"/>
            <color rgb="FF000000"/>
            <rFont val="Tahoma"/>
            <family val="2"/>
          </rPr>
          <t>kara: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Staff Travel and Vehicle Expenses combined</t>
        </r>
      </text>
    </comment>
    <comment ref="C37" authorId="0">
      <text>
        <r>
          <rPr>
            <b/>
            <sz val="9"/>
            <color rgb="FF000000"/>
            <rFont val="Tahoma"/>
            <family val="2"/>
          </rPr>
          <t xml:space="preserve">kara: 9/28/18
</t>
        </r>
        <r>
          <rPr>
            <b/>
            <sz val="9"/>
            <color rgb="FF000000"/>
            <rFont val="Tahoma"/>
            <family val="2"/>
          </rPr>
          <t>was at $24,843 post hearing change to $26,520 plus two applicable CAF's brings it to $28,082 or $13.50 per hour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<sst xmlns="http://schemas.openxmlformats.org/spreadsheetml/2006/main" count="871" uniqueCount="342">
  <si>
    <t>Master Look-Up Table</t>
  </si>
  <si>
    <t>Up to 15 Clients</t>
  </si>
  <si>
    <t>FY14 Actuals</t>
  </si>
  <si>
    <t>For Rate</t>
  </si>
  <si>
    <t>Source</t>
  </si>
  <si>
    <t>Salary</t>
  </si>
  <si>
    <t>FTE</t>
  </si>
  <si>
    <t>Expense</t>
  </si>
  <si>
    <t>Salaries</t>
  </si>
  <si>
    <t>Management</t>
  </si>
  <si>
    <t>FY2019 UFR data</t>
  </si>
  <si>
    <t>Direct Care III</t>
  </si>
  <si>
    <t>BLS Benchmark</t>
  </si>
  <si>
    <t xml:space="preserve">Direct Care </t>
  </si>
  <si>
    <t>Support</t>
  </si>
  <si>
    <t>FTEs</t>
  </si>
  <si>
    <t>Sub-Total Staff</t>
  </si>
  <si>
    <t>0.22/0.40</t>
  </si>
  <si>
    <t>Agency Recommendation</t>
  </si>
  <si>
    <t>.75/1.50</t>
  </si>
  <si>
    <t>Taxes and Fringe</t>
  </si>
  <si>
    <t>.25/.50</t>
  </si>
  <si>
    <t>0.10/0.20</t>
  </si>
  <si>
    <t xml:space="preserve">Total Staffing Costs </t>
  </si>
  <si>
    <t>Benchmark Expenses</t>
  </si>
  <si>
    <t>Taxes &amp; Fringe</t>
  </si>
  <si>
    <t>FY21 Benchmark</t>
  </si>
  <si>
    <t>Occupancy</t>
  </si>
  <si>
    <t>Staff Training</t>
  </si>
  <si>
    <t>Transportation</t>
  </si>
  <si>
    <t>Client Personal Allowances</t>
  </si>
  <si>
    <t xml:space="preserve">Purchaser/Agency Recommendation per client </t>
  </si>
  <si>
    <t xml:space="preserve">Program Supplies and Materials </t>
  </si>
  <si>
    <t>Admin. Alloc. (M &amp; G)</t>
  </si>
  <si>
    <t>MA EOHHS C.257 Benchmark</t>
  </si>
  <si>
    <t>Total Reimbursable Exp. Excl. Admin.</t>
  </si>
  <si>
    <t>Rate review CAF FY22</t>
  </si>
  <si>
    <t>Prospective period FY20 &amp; FY22</t>
  </si>
  <si>
    <t>Admin. Alloc. (M&amp;G)</t>
  </si>
  <si>
    <t>PFMLA Trust Contribution</t>
  </si>
  <si>
    <t>Effective 7/1/19</t>
  </si>
  <si>
    <t>Total Amount</t>
  </si>
  <si>
    <t>Total Annual Amount</t>
  </si>
  <si>
    <t>Total Monthly Rate</t>
  </si>
  <si>
    <t>Up to 30 Clients</t>
  </si>
  <si>
    <t>Massachusetts Economic Indicators</t>
  </si>
  <si>
    <t>IHS Markit, Fall 2020 Forecast</t>
  </si>
  <si>
    <t>Prepared by Michael Lynch, 781-301-9129</t>
  </si>
  <si>
    <t>FY16</t>
  </si>
  <si>
    <t>FY17</t>
  </si>
  <si>
    <t>FY18</t>
  </si>
  <si>
    <t>FY19</t>
  </si>
  <si>
    <t>FY20</t>
  </si>
  <si>
    <t>FY21</t>
  </si>
  <si>
    <t>FY22</t>
  </si>
  <si>
    <t>FY23</t>
  </si>
  <si>
    <t>FY13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</si>
  <si>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</si>
  <si>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</si>
  <si>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</si>
  <si>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</si>
  <si>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</si>
  <si>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</si>
  <si>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</si>
  <si>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</si>
  <si>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</si>
  <si>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</si>
  <si>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</si>
  <si>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</si>
  <si>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</si>
  <si>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</si>
  <si>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</si>
  <si>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</si>
  <si>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</si>
  <si>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</si>
  <si>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</si>
  <si>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</si>
  <si>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</si>
  <si>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</si>
  <si>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</si>
  <si>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</si>
  <si>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</si>
  <si>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</si>
  <si>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</si>
  <si>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</si>
  <si>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</si>
  <si>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</si>
  <si>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</si>
  <si>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</si>
  <si>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</si>
  <si>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</si>
  <si>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</si>
  <si>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</si>
  <si>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</si>
  <si>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</si>
  <si>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</si>
  <si>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</si>
  <si>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</si>
  <si>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</si>
  <si>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</si>
  <si>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</si>
  <si>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</si>
  <si>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</si>
  <si>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</si>
  <si>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</si>
  <si>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</si>
  <si>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</si>
  <si>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</si>
  <si>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</si>
  <si>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</si>
  <si>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</si>
  <si>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</si>
  <si>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</si>
  <si>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</si>
  <si>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</si>
  <si>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</si>
  <si>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</si>
  <si>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</si>
  <si>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</si>
  <si>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</si>
  <si>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</si>
  <si>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</si>
  <si>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</si>
  <si>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</si>
  <si>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</si>
  <si>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</si>
  <si>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</si>
  <si>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</si>
  <si>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</si>
  <si>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</si>
  <si>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</si>
  <si>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</si>
  <si>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</si>
  <si>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</si>
  <si>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</si>
  <si>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</si>
  <si>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</si>
  <si>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</si>
  <si>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</si>
  <si>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</si>
  <si>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</si>
  <si>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</si>
  <si>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</si>
  <si>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</si>
  <si>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</si>
  <si>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</si>
  <si>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</si>
  <si>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</si>
  <si>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</si>
  <si>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</si>
  <si>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1, 2021</t>
  </si>
  <si>
    <t xml:space="preserve">Base period: </t>
  </si>
  <si>
    <t>FY21Q4</t>
  </si>
  <si>
    <t>Average</t>
  </si>
  <si>
    <t xml:space="preserve">Prospective rate period: </t>
  </si>
  <si>
    <t>7/1/21 - 6/30/22</t>
  </si>
  <si>
    <t>CAF:</t>
  </si>
  <si>
    <t xml:space="preserve"> </t>
  </si>
  <si>
    <t>Master Look-Up Data</t>
  </si>
  <si>
    <t>ALPS- Alternative Lock-up Program (RESS)</t>
  </si>
  <si>
    <t>Monthly Accommodation Rate - Model A</t>
  </si>
  <si>
    <t>Monthly Accommodation Rate - Model B</t>
  </si>
  <si>
    <t>Monthly Accommodation Rate - Model C</t>
  </si>
  <si>
    <t>Benchmark Salary</t>
  </si>
  <si>
    <t>Original UFR data + compounding CAFs</t>
  </si>
  <si>
    <t>Position</t>
  </si>
  <si>
    <t>Clerical</t>
  </si>
  <si>
    <t>FY16 Contract Data</t>
  </si>
  <si>
    <t>Tax and Fringe</t>
  </si>
  <si>
    <t>.</t>
  </si>
  <si>
    <t>Per FTE</t>
  </si>
  <si>
    <t>Admin of Placement</t>
  </si>
  <si>
    <t>original UFR data + compounding CAFs</t>
  </si>
  <si>
    <t>Staff training</t>
  </si>
  <si>
    <t>Travel Expenses</t>
  </si>
  <si>
    <t>Client Pers Allow</t>
  </si>
  <si>
    <t>Staff Travel</t>
  </si>
  <si>
    <t>Supplies &amp; Materials</t>
  </si>
  <si>
    <t>Prog Support</t>
  </si>
  <si>
    <t>Placement M&amp;G</t>
  </si>
  <si>
    <t>Admin allocation</t>
  </si>
  <si>
    <t>CAF</t>
  </si>
  <si>
    <t>Admin. Allocation</t>
  </si>
  <si>
    <t>Monthly Rate</t>
  </si>
  <si>
    <t>Note Changes</t>
  </si>
  <si>
    <t xml:space="preserve">from </t>
  </si>
  <si>
    <t>to</t>
  </si>
  <si>
    <t>Source:</t>
  </si>
  <si>
    <t>2017 / 2018</t>
  </si>
  <si>
    <t>BLS / OES</t>
  </si>
  <si>
    <t>BLS MA</t>
  </si>
  <si>
    <t>Median</t>
  </si>
  <si>
    <t>Avg</t>
  </si>
  <si>
    <t>Common model titles (not all inclusive)</t>
  </si>
  <si>
    <t>Minimum Education and/or certification/Training/Experience</t>
  </si>
  <si>
    <t>C.257 Average</t>
  </si>
  <si>
    <t>Hourly Difference b/w Avg &amp; C.257</t>
  </si>
  <si>
    <t>Direct Care (hourly)</t>
  </si>
  <si>
    <t>Direct Care, Direct Care Blend, Non Specialized DC, Peer mentor, Family Specialist/ Partner</t>
  </si>
  <si>
    <t>High School diploma / GED / State Training</t>
  </si>
  <si>
    <t>Direct Care  (annual)</t>
  </si>
  <si>
    <t>Direct Care III (hourly)</t>
  </si>
  <si>
    <t>Direct Care Supervisor, Direct Care Bachelors</t>
  </si>
  <si>
    <t>Bachelors Level or 5+ years related experience</t>
  </si>
  <si>
    <t>Direct Care III (annual)</t>
  </si>
  <si>
    <t>Certified Nursing Assistant  (hourly)</t>
  </si>
  <si>
    <t>Completed a state-approved education program and must pass their state’s competency exam. 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</si>
  <si>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</si>
  <si>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</si>
  <si>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</si>
  <si>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</si>
  <si>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N/A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</si>
  <si>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</si>
  <si>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</si>
  <si>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</si>
  <si>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</si>
  <si>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</si>
  <si>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Case Manager / Social Worker / Clinical w/o independent License</t>
  </si>
  <si>
    <t>Clinical without Independent Licensure</t>
  </si>
  <si>
    <t>Clinical w/ Independent licensure (hourly)</t>
  </si>
  <si>
    <t>LPHA, LICSW, LMHC, LBHA, BCBA</t>
  </si>
  <si>
    <t xml:space="preserve">Masters with Licensure in Related Discipline </t>
  </si>
  <si>
    <t>Clinical w/ Independent licensure (annual)</t>
  </si>
  <si>
    <t>Clinical Manager (hourly)</t>
  </si>
  <si>
    <t>Clinical Manager, Clinical Director</t>
  </si>
  <si>
    <t>Masters with Licensure in Related Discipline and supervising/managerial related experience</t>
  </si>
  <si>
    <t>Clinical Manager (annual)</t>
  </si>
  <si>
    <t>LPN (hourly)</t>
  </si>
  <si>
    <t>Complete a state approved nurse education program for licensed practical or licensed vocation nurse</t>
  </si>
  <si>
    <t>LPN (annual)</t>
  </si>
  <si>
    <t>Registerd Nurse (BA) (hourly)</t>
  </si>
  <si>
    <t>Minimum of an associates degree in nursing, a diploma from an approved nursing program, or a Bachelors of Science in Nursing</t>
  </si>
  <si>
    <t>Registered Nurse (BA) (annual)</t>
  </si>
  <si>
    <t>Registerd Nurse (MA / APRN) (hourly)</t>
  </si>
  <si>
    <t>Minimum of a Masters of Science in one of the APRN roles. Must be licensed</t>
  </si>
  <si>
    <t>Registered Nurse (MA / APRN) (annual)</t>
  </si>
  <si>
    <t>Support &amp; Direct Care Relief Staff are benched to Direct Care</t>
  </si>
  <si>
    <t xml:space="preserve">Tax and Fringe  =  </t>
  </si>
  <si>
    <t xml:space="preserve"> leave, retirement and Paid Family Medical Leave tax</t>
  </si>
  <si>
    <t xml:space="preserve">Benchmarked to FY21 Commonwealth (office of the Comptroller) T&amp;F rate, less </t>
  </si>
  <si>
    <t>Master Data Source Table</t>
  </si>
  <si>
    <t>Protective Investigation (CSSI)</t>
  </si>
  <si>
    <t>Description</t>
  </si>
  <si>
    <t>Monthly Accommodation Rate per Family</t>
  </si>
  <si>
    <t>Monthly Accommodation Rate for 5 Families</t>
  </si>
  <si>
    <t>Metro North &amp; South Regions</t>
  </si>
  <si>
    <t>Families</t>
  </si>
  <si>
    <t>Specialized Staff BA Level</t>
  </si>
  <si>
    <t>Direct Care</t>
  </si>
  <si>
    <t>Manager</t>
  </si>
  <si>
    <t>Social Worker (LCSW)</t>
  </si>
  <si>
    <t>T&amp;F</t>
  </si>
  <si>
    <t>Total Program Staff</t>
  </si>
  <si>
    <t>Program Expenses: (Occupancy, Prog Supplies, Materials, Consultants &amp; Travel)</t>
  </si>
  <si>
    <t>Purchaser reccomendation Per family</t>
  </si>
  <si>
    <t>Total Compensation</t>
  </si>
  <si>
    <t>Admin Allocation</t>
  </si>
  <si>
    <t>C.257 benchmark</t>
  </si>
  <si>
    <t>Prog Supplies and Materials</t>
  </si>
  <si>
    <t>Program Expenses (per Family)</t>
  </si>
  <si>
    <t>Program Support</t>
  </si>
  <si>
    <t>Total Reimb excl M&amp;G</t>
  </si>
  <si>
    <t>TOTAL</t>
  </si>
  <si>
    <t>Monthly Accomodation Rate</t>
  </si>
  <si>
    <t>Rate with CAF</t>
  </si>
  <si>
    <t>Teen Pregnancy Prevention Program</t>
  </si>
  <si>
    <t xml:space="preserve">Hours in Year </t>
  </si>
  <si>
    <t>DC available hours per year</t>
  </si>
  <si>
    <t>Staffing Ratios</t>
  </si>
  <si>
    <t>For Every 1 FTE for Direct Staff, there are:</t>
  </si>
  <si>
    <t>Mgmt</t>
  </si>
  <si>
    <t>FY19 Wtg AVG UFR Data per FTE</t>
  </si>
  <si>
    <t>Training</t>
  </si>
  <si>
    <r>
      <t xml:space="preserve">Teen Pregnancy Prevention Program Remote Add-on Rate </t>
    </r>
    <r>
      <rPr>
        <b/>
        <sz val="12"/>
        <color rgb="FFFF0000"/>
        <rFont val="Calibri"/>
        <family val="2"/>
        <scheme val="minor"/>
      </rPr>
      <t>(NEW)</t>
    </r>
  </si>
  <si>
    <t xml:space="preserve">Other Program Exp. </t>
  </si>
  <si>
    <t xml:space="preserve">Rate review CAF FY22 </t>
  </si>
  <si>
    <t>Prospective FY20 &amp; FY22</t>
  </si>
  <si>
    <t>Other Program Expenses</t>
  </si>
  <si>
    <t>Total</t>
  </si>
  <si>
    <t>Total per Direct Care Hour</t>
  </si>
  <si>
    <t xml:space="preserve">In School Rate </t>
  </si>
  <si>
    <t xml:space="preserve">DC hours allowed: </t>
  </si>
  <si>
    <t>Out of School Rate</t>
  </si>
  <si>
    <t>Youth Rate</t>
  </si>
  <si>
    <t>Monthly  rate</t>
  </si>
  <si>
    <t>Weekly Rate</t>
  </si>
  <si>
    <t>Hourly Rate</t>
  </si>
  <si>
    <t>Teen Pregnancy Prevention Program Partnership Development</t>
  </si>
  <si>
    <t>TPP Remote Hourly Add-on Rate</t>
  </si>
  <si>
    <t xml:space="preserve">Model I </t>
  </si>
  <si>
    <t>FY15 UFR</t>
  </si>
  <si>
    <t xml:space="preserve">Direct </t>
  </si>
  <si>
    <t>Benchmarked to 101 CMR 413: Congregate Care programs</t>
  </si>
  <si>
    <t>Purchaser Recommendation</t>
  </si>
  <si>
    <t>Occupancy (Per FTE)</t>
  </si>
  <si>
    <t>Purchaser recommendation</t>
  </si>
  <si>
    <t>Other Program Exp. (Per FTE)</t>
  </si>
  <si>
    <t>Specialty Consultations</t>
  </si>
  <si>
    <t>Transportation (Per Program)</t>
  </si>
  <si>
    <t>Bench to 101 CMR 420  + compounding CAFs</t>
  </si>
  <si>
    <t>Rate review CAF FY22 (ESTIMATE)</t>
  </si>
  <si>
    <t>Rate review CAF FY22 &amp; FY23</t>
  </si>
  <si>
    <t xml:space="preserve">Total Amount </t>
  </si>
  <si>
    <r>
      <t xml:space="preserve">Model II </t>
    </r>
    <r>
      <rPr>
        <b/>
        <i/>
        <strike/>
        <sz val="11"/>
        <color theme="1"/>
        <rFont val="Calibri"/>
        <family val="2"/>
        <scheme val="minor"/>
      </rPr>
      <t/>
    </r>
  </si>
  <si>
    <t>Clinical (LICSW)</t>
  </si>
  <si>
    <t>Clinical</t>
  </si>
  <si>
    <t>Specialty Consultations &amp; MAPS</t>
  </si>
  <si>
    <t>Specialty Consultations /MAP</t>
  </si>
  <si>
    <t>Benchmarked to 101 CMR 350*+ compounding CAFs</t>
  </si>
  <si>
    <t>Transportation (Per Provider)</t>
  </si>
  <si>
    <t>Rate review CAF FY22 &amp;FY23</t>
  </si>
  <si>
    <t xml:space="preserve">Model IIIa  </t>
  </si>
  <si>
    <t xml:space="preserve">Model IIIb </t>
  </si>
  <si>
    <t>1.0 / 1.0</t>
  </si>
  <si>
    <t>1.0 / 2.5</t>
  </si>
  <si>
    <t>0.2 / 0.2</t>
  </si>
  <si>
    <t>Specialty Consultations / MAP</t>
  </si>
  <si>
    <t>$12325 / $20756</t>
  </si>
  <si>
    <t>increase in salary</t>
  </si>
  <si>
    <t>Model IV A</t>
  </si>
  <si>
    <t>Model IV B</t>
  </si>
  <si>
    <t>0.5 / 1.0</t>
  </si>
  <si>
    <t>0.75 / 2.0</t>
  </si>
  <si>
    <t>1.0 / .75</t>
  </si>
  <si>
    <t>0.20 / 0.25</t>
  </si>
  <si>
    <t>$13,400 / $21,500</t>
  </si>
  <si>
    <t xml:space="preserve">Monthly Add-on Rates </t>
  </si>
  <si>
    <t>Clinician w/Independent License</t>
  </si>
  <si>
    <t>BLS /OES Massachusetts Median 2018</t>
  </si>
  <si>
    <t>Tax &amp; Fringe</t>
  </si>
  <si>
    <t>Total Tax &amp; Fringe</t>
  </si>
  <si>
    <t>Subtotal Compensation</t>
  </si>
  <si>
    <t>PFMLA</t>
  </si>
  <si>
    <t>TOTAL COMPENSATION</t>
  </si>
  <si>
    <t>Proposed FY22 Monthly Rates (1.0 FTE)</t>
  </si>
  <si>
    <t>Proposed FY22 Monthly Rates (0.75FTE)</t>
  </si>
  <si>
    <t>Proposed FY22 Monthly Rates (0.50FTE)</t>
  </si>
  <si>
    <t>Proposed FY22 Monthly Rates (0.25FTE)</t>
  </si>
  <si>
    <t>Prospective period FY22 &amp; FY23</t>
  </si>
  <si>
    <t>Propspective period FY22 &amp; FY23</t>
  </si>
  <si>
    <t>Commonwealth FY21 Rate</t>
  </si>
  <si>
    <t>M&amp;G / Admin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</si>
</sst>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\$#,##0"/>
    <numFmt numFmtId="166" formatCode="0.000"/>
    <numFmt numFmtId="167" formatCode="0.0"/>
    <numFmt numFmtId="168" formatCode="&quot;$&quot;#,##0"/>
    <numFmt numFmtId="169" formatCode="[$-409]mmmm\ d\,\ yyyy;@"/>
    <numFmt numFmtId="170" formatCode="&quot;$&quot;#,##0.00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rgb="FF9C0006"/>
      <name val="Calibri"/>
      <family val="2"/>
    </font>
    <font>
      <sz val="9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9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  <charset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charset val="129"/>
      <scheme val="minor"/>
    </font>
    <font>
      <b/>
      <sz val="12"/>
      <color indexed="3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1"/>
      <name val="Calibri"/>
      <family val="2"/>
      <scheme val="minor"/>
    </font>
    <font>
      <sz val="11"/>
      <name val="Calibri"/>
      <family val="2"/>
    </font>
    <font>
      <b/>
      <i/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4"/>
      <name val="Calibri (Body)"/>
    </font>
    <font>
      <b/>
      <i/>
      <sz val="14"/>
      <name val="Calibri (Body)"/>
    </font>
    <font>
      <b/>
      <i/>
      <sz val="14"/>
      <name val="Calibri"/>
      <family val="2"/>
      <scheme val="minor"/>
    </font>
    <font>
      <i/>
      <sz val="14"/>
      <name val="Calibri (Body)"/>
    </font>
    <font>
      <sz val="16"/>
      <name val="Times New Roman"/>
      <family val="1"/>
    </font>
    <font>
      <u/>
      <sz val="14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rgb="FFBFBFB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0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3" borderId="4" applyNumberFormat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7" borderId="0" applyNumberFormat="0" applyBorder="0" applyAlignment="0" applyProtection="0"/>
    <xf numFmtId="0" fontId="23" fillId="11" borderId="0" applyNumberFormat="0" applyBorder="0" applyAlignment="0" applyProtection="0"/>
    <xf numFmtId="0" fontId="24" fillId="2" borderId="0" applyNumberFormat="0" applyBorder="0" applyAlignment="0" applyProtection="0"/>
    <xf numFmtId="0" fontId="25" fillId="0" borderId="31" applyNumberFormat="0" applyFont="0" applyProtection="0">
      <alignment wrapText="1"/>
    </xf>
    <xf numFmtId="0" fontId="26" fillId="28" borderId="32" applyNumberFormat="0" applyAlignment="0" applyProtection="0"/>
    <xf numFmtId="0" fontId="26" fillId="28" borderId="32" applyNumberFormat="0" applyAlignment="0" applyProtection="0"/>
    <xf numFmtId="0" fontId="26" fillId="28" borderId="32" applyNumberFormat="0" applyAlignment="0" applyProtection="0"/>
    <xf numFmtId="0" fontId="27" fillId="29" borderId="33" applyNumberFormat="0" applyAlignment="0" applyProtection="0"/>
    <xf numFmtId="41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34" applyNumberFormat="0" applyProtection="0">
      <alignment wrapText="1"/>
    </xf>
    <xf numFmtId="0" fontId="33" fillId="12" borderId="0" applyNumberFormat="0" applyBorder="0" applyAlignment="0" applyProtection="0"/>
    <xf numFmtId="0" fontId="34" fillId="0" borderId="35" applyNumberFormat="0" applyProtection="0">
      <alignment wrapText="1"/>
    </xf>
    <xf numFmtId="0" fontId="35" fillId="0" borderId="36" applyNumberFormat="0" applyFill="0" applyAlignment="0" applyProtection="0"/>
    <xf numFmtId="0" fontId="3" fillId="0" borderId="1" applyNumberFormat="0" applyFill="0" applyAlignment="0" applyProtection="0"/>
    <xf numFmtId="0" fontId="35" fillId="0" borderId="36" applyNumberFormat="0" applyFill="0" applyAlignment="0" applyProtection="0"/>
    <xf numFmtId="0" fontId="36" fillId="0" borderId="37" applyNumberFormat="0" applyFill="0" applyAlignment="0" applyProtection="0"/>
    <xf numFmtId="0" fontId="4" fillId="0" borderId="2" applyNumberFormat="0" applyFill="0" applyAlignment="0" applyProtection="0"/>
    <xf numFmtId="0" fontId="36" fillId="0" borderId="37" applyNumberFormat="0" applyFill="0" applyAlignment="0" applyProtection="0"/>
    <xf numFmtId="0" fontId="37" fillId="0" borderId="38" applyNumberFormat="0" applyFill="0" applyAlignment="0" applyProtection="0"/>
    <xf numFmtId="0" fontId="5" fillId="0" borderId="3" applyNumberFormat="0" applyFill="0" applyAlignment="0" applyProtection="0"/>
    <xf numFmtId="0" fontId="37" fillId="0" borderId="38" applyNumberFormat="0" applyFill="0" applyAlignment="0" applyProtection="0"/>
    <xf numFmtId="0" fontId="3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5" borderId="32" applyNumberFormat="0" applyAlignment="0" applyProtection="0"/>
    <xf numFmtId="0" fontId="39" fillId="15" borderId="32" applyNumberFormat="0" applyAlignment="0" applyProtection="0"/>
    <xf numFmtId="0" fontId="39" fillId="15" borderId="32" applyNumberFormat="0" applyAlignment="0" applyProtection="0"/>
    <xf numFmtId="0" fontId="40" fillId="0" borderId="39" applyNumberFormat="0" applyFill="0" applyAlignment="0" applyProtection="0"/>
    <xf numFmtId="0" fontId="7" fillId="0" borderId="5" applyNumberFormat="0" applyFill="0" applyAlignment="0" applyProtection="0"/>
    <xf numFmtId="0" fontId="40" fillId="0" borderId="39" applyNumberFormat="0" applyFill="0" applyAlignment="0" applyProtection="0"/>
    <xf numFmtId="0" fontId="41" fillId="30" borderId="0" applyNumberFormat="0" applyBorder="0" applyAlignment="0" applyProtection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8" fillId="0" borderId="0"/>
    <xf numFmtId="0" fontId="31" fillId="0" borderId="0"/>
    <xf numFmtId="0" fontId="28" fillId="0" borderId="0"/>
    <xf numFmtId="0" fontId="30" fillId="0" borderId="0"/>
    <xf numFmtId="0" fontId="28" fillId="0" borderId="0"/>
    <xf numFmtId="0" fontId="21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42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44" fillId="0" borderId="0">
      <alignment vertical="top"/>
    </xf>
    <xf numFmtId="0" fontId="43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1" fillId="0" borderId="0"/>
    <xf numFmtId="0" fontId="28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44" fillId="0" borderId="0"/>
    <xf numFmtId="0" fontId="28" fillId="0" borderId="0"/>
    <xf numFmtId="0" fontId="1" fillId="0" borderId="0"/>
    <xf numFmtId="0" fontId="30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4" borderId="6" applyNumberFormat="0" applyFont="0" applyAlignment="0" applyProtection="0"/>
    <xf numFmtId="0" fontId="28" fillId="31" borderId="40" applyNumberFormat="0" applyFont="0" applyAlignment="0" applyProtection="0"/>
    <xf numFmtId="0" fontId="28" fillId="31" borderId="40" applyNumberFormat="0" applyFont="0" applyAlignment="0" applyProtection="0"/>
    <xf numFmtId="0" fontId="45" fillId="28" borderId="41" applyNumberFormat="0" applyAlignment="0" applyProtection="0"/>
    <xf numFmtId="0" fontId="45" fillId="28" borderId="41" applyNumberFormat="0" applyAlignment="0" applyProtection="0"/>
    <xf numFmtId="0" fontId="45" fillId="28" borderId="41" applyNumberFormat="0" applyAlignment="0" applyProtection="0"/>
    <xf numFmtId="0" fontId="34" fillId="0" borderId="42" applyNumberFormat="0" applyProtection="0">
      <alignment wrapText="1"/>
    </xf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7" fillId="0" borderId="0" applyNumberFormat="0" applyProtection="0">
      <alignment horizontal="left"/>
    </xf>
    <xf numFmtId="0" fontId="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3" applyNumberFormat="0" applyFill="0" applyAlignment="0" applyProtection="0"/>
    <xf numFmtId="0" fontId="10" fillId="0" borderId="7" applyNumberFormat="0" applyFill="0" applyAlignment="0" applyProtection="0"/>
    <xf numFmtId="0" fontId="49" fillId="0" borderId="43" applyNumberFormat="0" applyFill="0" applyAlignment="0" applyProtection="0"/>
    <xf numFmtId="0" fontId="5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44" fontId="82" fillId="0" borderId="0" applyFont="0" applyFill="0" applyBorder="0" applyAlignment="0" applyProtection="0"/>
    <xf numFmtId="0" fontId="82" fillId="0" borderId="0"/>
    <xf numFmtId="0" fontId="30" fillId="0" borderId="0"/>
  </cellStyleXfs>
  <cellXfs count="960">
    <xf numFmtId="0" fontId="0" fillId="0" borderId="0" xfId="0"/>
    <xf numFmtId="0" fontId="0" fillId="6" borderId="8" xfId="0" applyFill="1" applyBorder="1"/>
    <xf numFmtId="0" fontId="12" fillId="6" borderId="9" xfId="0" applyFont="1" applyFill="1" applyBorder="1" applyAlignment="1">
      <alignment horizontal="center"/>
    </xf>
    <xf numFmtId="0" fontId="13" fillId="7" borderId="11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0" fillId="6" borderId="13" xfId="0" applyFill="1" applyBorder="1"/>
    <xf numFmtId="0" fontId="0" fillId="6" borderId="14" xfId="0" applyFill="1" applyBorder="1"/>
    <xf numFmtId="0" fontId="0" fillId="0" borderId="15" xfId="0" applyFill="1" applyBorder="1"/>
    <xf numFmtId="0" fontId="14" fillId="0" borderId="16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 vertical="center"/>
    </xf>
    <xf numFmtId="0" fontId="0" fillId="6" borderId="0" xfId="0" applyFill="1" applyBorder="1"/>
    <xf numFmtId="0" fontId="10" fillId="6" borderId="18" xfId="0" applyFont="1" applyFill="1" applyBorder="1" applyAlignment="1">
      <alignment horizontal="center"/>
    </xf>
    <xf numFmtId="164" fontId="0" fillId="6" borderId="20" xfId="1" applyNumberFormat="1" applyFont="1" applyFill="1" applyBorder="1"/>
    <xf numFmtId="2" fontId="0" fillId="6" borderId="20" xfId="0" applyNumberFormat="1" applyFill="1" applyBorder="1" applyAlignment="1">
      <alignment horizontal="center"/>
    </xf>
    <xf numFmtId="165" fontId="16" fillId="6" borderId="13" xfId="0" applyNumberFormat="1" applyFont="1" applyFill="1" applyBorder="1"/>
    <xf numFmtId="164" fontId="16" fillId="6" borderId="19" xfId="1" applyNumberFormat="1" applyFont="1" applyFill="1" applyBorder="1"/>
    <xf numFmtId="0" fontId="10" fillId="6" borderId="0" xfId="0" applyFont="1" applyFill="1" applyBorder="1"/>
    <xf numFmtId="164" fontId="0" fillId="6" borderId="0" xfId="1" applyNumberFormat="1" applyFont="1" applyFill="1" applyBorder="1"/>
    <xf numFmtId="2" fontId="0" fillId="6" borderId="0" xfId="0" applyNumberFormat="1" applyFill="1" applyBorder="1" applyAlignment="1">
      <alignment horizontal="center"/>
    </xf>
    <xf numFmtId="164" fontId="0" fillId="6" borderId="21" xfId="1" applyNumberFormat="1" applyFont="1" applyFill="1" applyBorder="1"/>
    <xf numFmtId="2" fontId="0" fillId="6" borderId="21" xfId="0" applyNumberFormat="1" applyFill="1" applyBorder="1" applyAlignment="1">
      <alignment horizontal="center"/>
    </xf>
    <xf numFmtId="0" fontId="15" fillId="6" borderId="14" xfId="0" applyFont="1" applyFill="1" applyBorder="1" applyAlignment="1">
      <alignment horizontal="center" vertical="center"/>
    </xf>
    <xf numFmtId="0" fontId="12" fillId="6" borderId="22" xfId="0" applyFont="1" applyFill="1" applyBorder="1"/>
    <xf numFmtId="2" fontId="12" fillId="6" borderId="22" xfId="0" applyNumberFormat="1" applyFont="1" applyFill="1" applyBorder="1" applyAlignment="1">
      <alignment horizontal="center"/>
    </xf>
    <xf numFmtId="2" fontId="16" fillId="6" borderId="19" xfId="0" applyNumberFormat="1" applyFont="1" applyFill="1" applyBorder="1" applyAlignment="1">
      <alignment horizontal="right"/>
    </xf>
    <xf numFmtId="164" fontId="12" fillId="6" borderId="0" xfId="0" applyNumberFormat="1" applyFont="1" applyFill="1" applyBorder="1"/>
    <xf numFmtId="164" fontId="0" fillId="6" borderId="0" xfId="0" applyNumberFormat="1" applyFill="1" applyBorder="1"/>
    <xf numFmtId="0" fontId="0" fillId="6" borderId="22" xfId="0" applyFill="1" applyBorder="1"/>
    <xf numFmtId="0" fontId="16" fillId="6" borderId="13" xfId="0" applyFont="1" applyFill="1" applyBorder="1"/>
    <xf numFmtId="10" fontId="16" fillId="6" borderId="19" xfId="0" applyNumberFormat="1" applyFont="1" applyFill="1" applyBorder="1"/>
    <xf numFmtId="164" fontId="18" fillId="6" borderId="0" xfId="1" applyNumberFormat="1" applyFont="1" applyFill="1" applyBorder="1"/>
    <xf numFmtId="164" fontId="16" fillId="6" borderId="19" xfId="0" applyNumberFormat="1" applyFont="1" applyFill="1" applyBorder="1"/>
    <xf numFmtId="10" fontId="16" fillId="6" borderId="19" xfId="2" applyNumberFormat="1" applyFont="1" applyFill="1" applyBorder="1"/>
    <xf numFmtId="0" fontId="0" fillId="0" borderId="11" xfId="0" applyBorder="1"/>
    <xf numFmtId="0" fontId="0" fillId="0" borderId="9" xfId="0" applyBorder="1"/>
    <xf numFmtId="0" fontId="0" fillId="6" borderId="25" xfId="0" applyFill="1" applyBorder="1"/>
    <xf numFmtId="10" fontId="18" fillId="6" borderId="26" xfId="0" applyNumberFormat="1" applyFont="1" applyFill="1" applyBorder="1" applyAlignment="1">
      <alignment horizontal="center"/>
    </xf>
    <xf numFmtId="0" fontId="0" fillId="0" borderId="9" xfId="0" applyFill="1" applyBorder="1"/>
    <xf numFmtId="164" fontId="18" fillId="6" borderId="0" xfId="0" applyNumberFormat="1" applyFont="1" applyFill="1" applyBorder="1"/>
    <xf numFmtId="0" fontId="16" fillId="5" borderId="0" xfId="0" applyFont="1" applyFill="1"/>
    <xf numFmtId="0" fontId="16" fillId="5" borderId="0" xfId="0" applyFont="1" applyFill="1" applyBorder="1"/>
    <xf numFmtId="0" fontId="20" fillId="5" borderId="0" xfId="0" applyFont="1" applyFill="1" applyBorder="1"/>
    <xf numFmtId="0" fontId="16" fillId="5" borderId="0" xfId="0" applyFont="1" applyFill="1" applyBorder="1" applyAlignment="1">
      <alignment horizontal="right"/>
    </xf>
    <xf numFmtId="164" fontId="16" fillId="5" borderId="0" xfId="0" applyNumberFormat="1" applyFont="1" applyFill="1" applyBorder="1"/>
    <xf numFmtId="10" fontId="16" fillId="5" borderId="0" xfId="2" applyNumberFormat="1" applyFont="1" applyFill="1"/>
    <xf numFmtId="0" fontId="16" fillId="0" borderId="0" xfId="0" applyFont="1" applyFill="1"/>
    <xf numFmtId="0" fontId="0" fillId="0" borderId="0" xfId="0" applyFill="1"/>
    <xf numFmtId="0" fontId="51" fillId="32" borderId="18" xfId="165" applyFont="1" applyFill="1" applyBorder="1"/>
    <xf numFmtId="0" fontId="52" fillId="32" borderId="10" xfId="165" applyFont="1" applyFill="1" applyBorder="1"/>
    <xf numFmtId="0" fontId="28" fillId="0" borderId="0" xfId="165"/>
    <xf numFmtId="0" fontId="52" fillId="32" borderId="0" xfId="165" applyFont="1" applyFill="1"/>
    <xf numFmtId="0" fontId="53" fillId="32" borderId="14" xfId="165" applyFont="1" applyFill="1" applyBorder="1"/>
    <xf numFmtId="0" fontId="54" fillId="32" borderId="44" xfId="165" applyFont="1" applyFill="1" applyBorder="1"/>
    <xf numFmtId="0" fontId="53" fillId="32" borderId="25" xfId="165" applyFont="1" applyFill="1" applyBorder="1"/>
    <xf numFmtId="0" fontId="53" fillId="0" borderId="0" xfId="165" applyFont="1"/>
    <xf numFmtId="0" fontId="28" fillId="33" borderId="0" xfId="225" applyFill="1"/>
    <xf numFmtId="0" fontId="55" fillId="33" borderId="0" xfId="225" applyFont="1" applyFill="1"/>
    <xf numFmtId="0" fontId="55" fillId="34" borderId="0" xfId="225" applyFont="1" applyFill="1"/>
    <xf numFmtId="0" fontId="55" fillId="35" borderId="0" xfId="225" applyFont="1" applyFill="1"/>
    <xf numFmtId="0" fontId="55" fillId="36" borderId="0" xfId="225" applyFont="1" applyFill="1"/>
    <xf numFmtId="0" fontId="55" fillId="37" borderId="0" xfId="225" applyFont="1" applyFill="1"/>
    <xf numFmtId="0" fontId="55" fillId="38" borderId="0" xfId="225" applyFont="1" applyFill="1"/>
    <xf numFmtId="0" fontId="55" fillId="39" borderId="0" xfId="225" applyFont="1" applyFill="1"/>
    <xf numFmtId="0" fontId="28" fillId="40" borderId="0" xfId="165" applyFill="1"/>
    <xf numFmtId="14" fontId="53" fillId="0" borderId="0" xfId="165" applyNumberFormat="1" applyFont="1"/>
    <xf numFmtId="166" fontId="28" fillId="0" borderId="0" xfId="165" applyNumberFormat="1"/>
    <xf numFmtId="0" fontId="53" fillId="0" borderId="0" xfId="211" applyFont="1"/>
    <xf numFmtId="0" fontId="28" fillId="0" borderId="0" xfId="211"/>
    <xf numFmtId="0" fontId="56" fillId="0" borderId="0" xfId="211" applyFont="1"/>
    <xf numFmtId="0" fontId="57" fillId="0" borderId="0" xfId="211" applyFont="1"/>
    <xf numFmtId="0" fontId="28" fillId="0" borderId="27" xfId="211" applyBorder="1"/>
    <xf numFmtId="0" fontId="28" fillId="0" borderId="20" xfId="211" applyBorder="1"/>
    <xf numFmtId="0" fontId="28" fillId="0" borderId="28" xfId="211" applyBorder="1"/>
    <xf numFmtId="167" fontId="28" fillId="0" borderId="0" xfId="165" applyNumberFormat="1"/>
    <xf numFmtId="0" fontId="28" fillId="0" borderId="45" xfId="211" applyBorder="1"/>
    <xf numFmtId="0" fontId="28" fillId="0" borderId="0" xfId="211" applyAlignment="1">
      <alignment horizontal="right"/>
    </xf>
    <xf numFmtId="0" fontId="28" fillId="0" borderId="46" xfId="211" applyBorder="1"/>
    <xf numFmtId="0" fontId="53" fillId="0" borderId="0" xfId="189" applyFont="1"/>
    <xf numFmtId="0" fontId="58" fillId="0" borderId="46" xfId="211" applyFont="1" applyBorder="1" applyAlignment="1">
      <alignment horizontal="center"/>
    </xf>
    <xf numFmtId="166" fontId="28" fillId="0" borderId="0" xfId="189" applyNumberFormat="1"/>
    <xf numFmtId="166" fontId="28" fillId="0" borderId="46" xfId="211" applyNumberFormat="1" applyBorder="1" applyAlignment="1">
      <alignment horizontal="center"/>
    </xf>
    <xf numFmtId="0" fontId="28" fillId="0" borderId="46" xfId="211" applyBorder="1" applyAlignment="1">
      <alignment horizontal="center"/>
    </xf>
    <xf numFmtId="0" fontId="53" fillId="9" borderId="0" xfId="211" applyFont="1" applyFill="1" applyAlignment="1">
      <alignment horizontal="right"/>
    </xf>
    <xf numFmtId="10" fontId="53" fillId="9" borderId="46" xfId="256" applyNumberFormat="1" applyFont="1" applyFill="1" applyBorder="1" applyAlignment="1">
      <alignment horizontal="center"/>
    </xf>
    <xf numFmtId="0" fontId="28" fillId="0" borderId="47" xfId="211" applyBorder="1"/>
    <xf numFmtId="0" fontId="28" fillId="0" borderId="21" xfId="211" applyBorder="1"/>
    <xf numFmtId="0" fontId="28" fillId="0" borderId="48" xfId="211" applyBorder="1"/>
    <xf numFmtId="165" fontId="59" fillId="41" borderId="8" xfId="226" applyNumberFormat="1" applyFont="1" applyFill="1" applyBorder="1" applyAlignment="1">
      <alignment horizontal="center"/>
    </xf>
    <xf numFmtId="165" fontId="59" fillId="41" borderId="18" xfId="226" applyNumberFormat="1" applyFont="1" applyFill="1" applyBorder="1" applyAlignment="1">
      <alignment horizontal="center"/>
    </xf>
    <xf numFmtId="165" fontId="59" fillId="41" borderId="10" xfId="226" applyNumberFormat="1" applyFont="1" applyFill="1" applyBorder="1" applyAlignment="1">
      <alignment horizontal="center"/>
    </xf>
    <xf numFmtId="0" fontId="59" fillId="41" borderId="11" xfId="202" applyFont="1" applyFill="1" applyBorder="1" applyAlignment="1">
      <alignment horizontal="center"/>
    </xf>
    <xf numFmtId="0" fontId="59" fillId="41" borderId="9" xfId="202" applyFont="1" applyFill="1" applyBorder="1" applyAlignment="1">
      <alignment horizontal="center"/>
    </xf>
    <xf numFmtId="0" fontId="59" fillId="41" borderId="12" xfId="202" applyFont="1" applyFill="1" applyBorder="1" applyAlignment="1">
      <alignment horizontal="center"/>
    </xf>
    <xf numFmtId="0" fontId="59" fillId="41" borderId="49" xfId="0" applyFont="1" applyFill="1" applyBorder="1" applyAlignment="1">
      <alignment horizontal="center"/>
    </xf>
    <xf numFmtId="0" fontId="59" fillId="41" borderId="44" xfId="0" applyFont="1" applyFill="1" applyBorder="1" applyAlignment="1">
      <alignment horizontal="center"/>
    </xf>
    <xf numFmtId="0" fontId="59" fillId="41" borderId="25" xfId="0" applyFont="1" applyFill="1" applyBorder="1" applyAlignment="1">
      <alignment horizontal="center"/>
    </xf>
    <xf numFmtId="0" fontId="60" fillId="0" borderId="13" xfId="226" applyFont="1" applyBorder="1" applyAlignment="1">
      <alignment horizontal="left"/>
    </xf>
    <xf numFmtId="168" fontId="60" fillId="0" borderId="0" xfId="226" applyNumberFormat="1" applyFont="1" applyBorder="1"/>
    <xf numFmtId="0" fontId="60" fillId="0" borderId="13" xfId="226" applyFont="1" applyFill="1" applyBorder="1" applyAlignment="1">
      <alignment horizontal="left"/>
    </xf>
    <xf numFmtId="168" fontId="60" fillId="0" borderId="0" xfId="226" applyNumberFormat="1" applyFont="1" applyFill="1" applyBorder="1"/>
    <xf numFmtId="0" fontId="60" fillId="0" borderId="13" xfId="226" applyFont="1" applyBorder="1" applyAlignment="1"/>
    <xf numFmtId="42" fontId="60" fillId="0" borderId="0" xfId="202" applyNumberFormat="1" applyFont="1" applyBorder="1" applyAlignment="1">
      <alignment horizontal="center"/>
    </xf>
    <xf numFmtId="4" fontId="60" fillId="0" borderId="0" xfId="202" applyNumberFormat="1" applyFont="1" applyBorder="1"/>
    <xf numFmtId="168" fontId="60" fillId="0" borderId="0" xfId="202" applyNumberFormat="1" applyFont="1" applyBorder="1"/>
    <xf numFmtId="0" fontId="60" fillId="0" borderId="13" xfId="226" applyFont="1" applyFill="1" applyBorder="1" applyAlignment="1"/>
    <xf numFmtId="0" fontId="60" fillId="0" borderId="49" xfId="226" applyFont="1" applyBorder="1" applyAlignment="1">
      <alignment horizontal="left"/>
    </xf>
    <xf numFmtId="168" fontId="60" fillId="0" borderId="44" xfId="226" applyNumberFormat="1" applyFont="1" applyFill="1" applyBorder="1"/>
    <xf numFmtId="168" fontId="60" fillId="0" borderId="0" xfId="202" applyNumberFormat="1" applyFont="1" applyBorder="1" applyAlignment="1">
      <alignment horizontal="center"/>
    </xf>
    <xf numFmtId="0" fontId="60" fillId="0" borderId="8" xfId="0" applyFont="1" applyBorder="1" applyAlignment="1">
      <alignment horizontal="left"/>
    </xf>
    <xf numFmtId="0" fontId="59" fillId="0" borderId="18" xfId="226" quotePrefix="1" applyNumberFormat="1" applyFont="1" applyBorder="1" applyAlignment="1">
      <alignment horizontal="center"/>
    </xf>
    <xf numFmtId="0" fontId="60" fillId="0" borderId="15" xfId="226" applyFont="1" applyBorder="1" applyAlignment="1"/>
    <xf numFmtId="42" fontId="60" fillId="0" borderId="21" xfId="202" applyNumberFormat="1" applyFont="1" applyBorder="1" applyAlignment="1">
      <alignment horizontal="center"/>
    </xf>
    <xf numFmtId="4" fontId="60" fillId="0" borderId="21" xfId="202" applyNumberFormat="1" applyFont="1" applyBorder="1"/>
    <xf numFmtId="0" fontId="60" fillId="0" borderId="15" xfId="226" applyFont="1" applyBorder="1" applyAlignment="1">
      <alignment horizontal="left"/>
    </xf>
    <xf numFmtId="168" fontId="60" fillId="0" borderId="21" xfId="202" applyNumberFormat="1" applyFont="1" applyBorder="1"/>
    <xf numFmtId="2" fontId="60" fillId="0" borderId="0" xfId="226" applyNumberFormat="1" applyFont="1" applyFill="1" applyBorder="1"/>
    <xf numFmtId="42" fontId="60" fillId="0" borderId="0" xfId="202" applyNumberFormat="1" applyFont="1" applyBorder="1"/>
    <xf numFmtId="0" fontId="59" fillId="0" borderId="22" xfId="202" applyFont="1" applyBorder="1"/>
    <xf numFmtId="4" fontId="59" fillId="0" borderId="22" xfId="202" applyNumberFormat="1" applyFont="1" applyFill="1" applyBorder="1"/>
    <xf numFmtId="2" fontId="60" fillId="0" borderId="44" xfId="226" applyNumberFormat="1" applyFont="1" applyBorder="1"/>
    <xf numFmtId="0" fontId="59" fillId="0" borderId="0" xfId="202" applyFont="1" applyBorder="1"/>
    <xf numFmtId="10" fontId="60" fillId="0" borderId="0" xfId="202" applyNumberFormat="1" applyFont="1" applyBorder="1"/>
    <xf numFmtId="0" fontId="60" fillId="0" borderId="0" xfId="202" applyFont="1" applyBorder="1"/>
    <xf numFmtId="0" fontId="59" fillId="0" borderId="11" xfId="0" applyFont="1" applyBorder="1" applyAlignment="1"/>
    <xf numFmtId="10" fontId="59" fillId="0" borderId="9" xfId="0" applyNumberFormat="1" applyFont="1" applyBorder="1" applyAlignment="1"/>
    <xf numFmtId="0" fontId="59" fillId="0" borderId="13" xfId="0" applyFont="1" applyBorder="1" applyAlignment="1"/>
    <xf numFmtId="0" fontId="59" fillId="0" borderId="0" xfId="0" applyFont="1" applyBorder="1" applyAlignment="1"/>
    <xf numFmtId="164" fontId="60" fillId="0" borderId="0" xfId="1" applyNumberFormat="1" applyFont="1" applyBorder="1" applyAlignment="1">
      <alignment horizontal="right"/>
    </xf>
    <xf numFmtId="10" fontId="61" fillId="0" borderId="26" xfId="202" applyNumberFormat="1" applyFont="1" applyBorder="1"/>
    <xf numFmtId="0" fontId="61" fillId="0" borderId="58" xfId="202" applyFont="1" applyFill="1" applyBorder="1"/>
    <xf numFmtId="10" fontId="61" fillId="0" borderId="26" xfId="202" applyNumberFormat="1" applyFont="1" applyFill="1" applyBorder="1"/>
    <xf numFmtId="0" fontId="61" fillId="0" borderId="26" xfId="202" applyFont="1" applyFill="1" applyBorder="1"/>
    <xf numFmtId="42" fontId="61" fillId="0" borderId="59" xfId="202" applyNumberFormat="1" applyFont="1" applyFill="1" applyBorder="1"/>
    <xf numFmtId="10" fontId="60" fillId="0" borderId="44" xfId="202" applyNumberFormat="1" applyFont="1" applyFill="1" applyBorder="1"/>
    <xf numFmtId="5" fontId="60" fillId="0" borderId="0" xfId="1" applyNumberFormat="1" applyFont="1" applyBorder="1" applyAlignment="1">
      <alignment horizontal="left"/>
    </xf>
    <xf numFmtId="0" fontId="17" fillId="0" borderId="0" xfId="0" applyFont="1" applyAlignment="1">
      <alignment horizont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169" fontId="64" fillId="0" borderId="0" xfId="0" applyNumberFormat="1" applyFont="1" applyAlignment="1">
      <alignment horizontal="left" vertical="top"/>
    </xf>
    <xf numFmtId="0" fontId="64" fillId="0" borderId="0" xfId="0" applyFont="1" applyAlignment="1">
      <alignment horizontal="center"/>
    </xf>
    <xf numFmtId="0" fontId="65" fillId="0" borderId="0" xfId="0" applyFont="1"/>
    <xf numFmtId="0" fontId="65" fillId="0" borderId="0" xfId="0" applyFont="1" applyAlignment="1">
      <alignment wrapText="1"/>
    </xf>
    <xf numFmtId="0" fontId="64" fillId="0" borderId="0" xfId="0" applyFont="1"/>
    <xf numFmtId="9" fontId="64" fillId="0" borderId="0" xfId="0" applyNumberFormat="1" applyFont="1" applyAlignment="1">
      <alignment horizontal="center"/>
    </xf>
    <xf numFmtId="0" fontId="64" fillId="0" borderId="0" xfId="0" applyFont="1" applyAlignment="1">
      <alignment horizontal="left" wrapText="1"/>
    </xf>
    <xf numFmtId="0" fontId="65" fillId="0" borderId="8" xfId="0" applyFont="1" applyBorder="1"/>
    <xf numFmtId="170" fontId="65" fillId="0" borderId="51" xfId="0" applyNumberFormat="1" applyFont="1" applyBorder="1" applyAlignment="1">
      <alignment horizontal="center"/>
    </xf>
    <xf numFmtId="0" fontId="65" fillId="0" borderId="18" xfId="0" applyFont="1" applyBorder="1"/>
    <xf numFmtId="0" fontId="65" fillId="0" borderId="18" xfId="0" applyFont="1" applyBorder="1" applyAlignment="1">
      <alignment horizontal="left" vertical="top" wrapText="1"/>
    </xf>
    <xf numFmtId="0" fontId="65" fillId="0" borderId="10" xfId="0" applyFont="1" applyBorder="1" applyAlignment="1">
      <alignment horizontal="left" vertical="center" wrapText="1"/>
    </xf>
    <xf numFmtId="170" fontId="0" fillId="0" borderId="72" xfId="0" applyNumberFormat="1" applyBorder="1"/>
    <xf numFmtId="170" fontId="0" fillId="0" borderId="0" xfId="0" applyNumberFormat="1"/>
    <xf numFmtId="0" fontId="65" fillId="0" borderId="13" xfId="0" applyFont="1" applyBorder="1"/>
    <xf numFmtId="168" fontId="65" fillId="0" borderId="0" xfId="0" applyNumberFormat="1" applyFont="1" applyAlignment="1">
      <alignment horizontal="center"/>
    </xf>
    <xf numFmtId="0" fontId="65" fillId="0" borderId="44" xfId="0" applyFont="1" applyBorder="1" applyAlignment="1">
      <alignment horizontal="left" vertical="top" wrapText="1"/>
    </xf>
    <xf numFmtId="0" fontId="65" fillId="0" borderId="25" xfId="0" applyFont="1" applyBorder="1" applyAlignment="1">
      <alignment horizontal="left" vertical="center" wrapText="1"/>
    </xf>
    <xf numFmtId="168" fontId="0" fillId="0" borderId="73" xfId="0" applyNumberFormat="1" applyBorder="1"/>
    <xf numFmtId="0" fontId="65" fillId="0" borderId="49" xfId="0" applyFont="1" applyBorder="1"/>
    <xf numFmtId="168" fontId="65" fillId="0" borderId="44" xfId="0" applyNumberFormat="1" applyFont="1" applyBorder="1" applyAlignment="1">
      <alignment horizontal="center"/>
    </xf>
    <xf numFmtId="0" fontId="65" fillId="0" borderId="44" xfId="0" applyFont="1" applyBorder="1"/>
    <xf numFmtId="170" fontId="8" fillId="0" borderId="0" xfId="0" applyNumberFormat="1" applyFont="1"/>
    <xf numFmtId="170" fontId="0" fillId="0" borderId="72" xfId="0" applyNumberFormat="1" applyBorder="1" applyAlignment="1">
      <alignment horizontal="right" vertical="center"/>
    </xf>
    <xf numFmtId="170" fontId="0" fillId="0" borderId="73" xfId="0" applyNumberFormat="1" applyBorder="1" applyAlignment="1">
      <alignment horizontal="right" vertical="center"/>
    </xf>
    <xf numFmtId="0" fontId="65" fillId="0" borderId="13" xfId="0" applyFont="1" applyBorder="1" applyAlignment="1">
      <alignment wrapText="1"/>
    </xf>
    <xf numFmtId="170" fontId="65" fillId="0" borderId="21" xfId="0" applyNumberFormat="1" applyFont="1" applyBorder="1" applyAlignment="1">
      <alignment horizontal="center"/>
    </xf>
    <xf numFmtId="0" fontId="65" fillId="0" borderId="14" xfId="0" applyFont="1" applyBorder="1" applyAlignment="1">
      <alignment horizontal="left" vertical="center" wrapText="1"/>
    </xf>
    <xf numFmtId="0" fontId="65" fillId="0" borderId="18" xfId="0" applyFont="1" applyBorder="1" applyAlignment="1">
      <alignment vertical="top" wrapText="1"/>
    </xf>
    <xf numFmtId="0" fontId="65" fillId="0" borderId="44" xfId="0" applyFont="1" applyBorder="1" applyAlignment="1">
      <alignment vertical="top" wrapText="1"/>
    </xf>
    <xf numFmtId="170" fontId="0" fillId="0" borderId="74" xfId="0" applyNumberFormat="1" applyBorder="1"/>
    <xf numFmtId="0" fontId="65" fillId="0" borderId="0" xfId="0" applyFont="1" applyAlignment="1">
      <alignment horizontal="right" wrapText="1"/>
    </xf>
    <xf numFmtId="0" fontId="65" fillId="0" borderId="0" xfId="0" applyFont="1" applyAlignment="1">
      <alignment horizontal="right"/>
    </xf>
    <xf numFmtId="10" fontId="65" fillId="0" borderId="0" xfId="0" applyNumberFormat="1" applyFont="1" applyAlignment="1">
      <alignment horizontal="center"/>
    </xf>
    <xf numFmtId="0" fontId="59" fillId="42" borderId="11" xfId="202" applyFont="1" applyFill="1" applyBorder="1" applyAlignment="1">
      <alignment horizontal="center"/>
    </xf>
    <xf numFmtId="0" fontId="59" fillId="42" borderId="9" xfId="202" applyFont="1" applyFill="1" applyBorder="1" applyAlignment="1">
      <alignment horizontal="center"/>
    </xf>
    <xf numFmtId="0" fontId="59" fillId="42" borderId="12" xfId="202" applyFont="1" applyFill="1" applyBorder="1" applyAlignment="1">
      <alignment horizontal="center"/>
    </xf>
    <xf numFmtId="6" fontId="60" fillId="0" borderId="20" xfId="202" applyNumberFormat="1" applyFont="1" applyBorder="1"/>
    <xf numFmtId="4" fontId="60" fillId="0" borderId="20" xfId="202" applyNumberFormat="1" applyFont="1" applyBorder="1"/>
    <xf numFmtId="6" fontId="60" fillId="0" borderId="0" xfId="202" applyNumberFormat="1" applyFont="1" applyBorder="1"/>
    <xf numFmtId="4" fontId="60" fillId="0" borderId="0" xfId="202" applyNumberFormat="1" applyFont="1" applyFill="1" applyBorder="1"/>
    <xf numFmtId="10" fontId="60" fillId="0" borderId="26" xfId="202" applyNumberFormat="1" applyFont="1" applyBorder="1"/>
    <xf numFmtId="0" fontId="66" fillId="0" borderId="0" xfId="0" applyFont="1"/>
    <xf numFmtId="0" fontId="68" fillId="43" borderId="8" xfId="0" applyFont="1" applyFill="1" applyBorder="1" applyAlignment="1">
      <alignment horizontal="center"/>
    </xf>
    <xf numFmtId="0" fontId="68" fillId="43" borderId="18" xfId="0" applyFont="1" applyFill="1" applyBorder="1" applyAlignment="1">
      <alignment horizontal="center"/>
    </xf>
    <xf numFmtId="0" fontId="68" fillId="43" borderId="10" xfId="0" applyFont="1" applyFill="1" applyBorder="1" applyAlignment="1">
      <alignment horizontal="center"/>
    </xf>
    <xf numFmtId="0" fontId="68" fillId="0" borderId="18" xfId="0" applyFont="1" applyFill="1" applyBorder="1" applyAlignment="1">
      <alignment horizontal="center"/>
    </xf>
    <xf numFmtId="0" fontId="69" fillId="43" borderId="11" xfId="0" applyFont="1" applyFill="1" applyBorder="1" applyAlignment="1">
      <alignment horizontal="center"/>
    </xf>
    <xf numFmtId="0" fontId="69" fillId="43" borderId="9" xfId="0" applyFont="1" applyFill="1" applyBorder="1" applyAlignment="1">
      <alignment horizontal="center"/>
    </xf>
    <xf numFmtId="0" fontId="69" fillId="43" borderId="12" xfId="0" applyFont="1" applyFill="1" applyBorder="1" applyAlignment="1">
      <alignment horizontal="center"/>
    </xf>
    <xf numFmtId="0" fontId="70" fillId="7" borderId="11" xfId="0" applyFont="1" applyFill="1" applyBorder="1" applyAlignment="1">
      <alignment horizontal="center" vertical="center"/>
    </xf>
    <xf numFmtId="0" fontId="70" fillId="7" borderId="9" xfId="0" applyFont="1" applyFill="1" applyBorder="1" applyAlignment="1">
      <alignment horizontal="center" vertical="center"/>
    </xf>
    <xf numFmtId="0" fontId="70" fillId="7" borderId="12" xfId="0" applyFont="1" applyFill="1" applyBorder="1" applyAlignment="1">
      <alignment horizontal="center" vertical="center"/>
    </xf>
    <xf numFmtId="0" fontId="66" fillId="0" borderId="65" xfId="0" applyFont="1" applyFill="1" applyBorder="1" applyAlignment="1">
      <alignment horizontal="right" vertical="center"/>
    </xf>
    <xf numFmtId="0" fontId="66" fillId="0" borderId="20" xfId="0" applyFont="1" applyFill="1" applyBorder="1" applyAlignment="1">
      <alignment horizontal="right" vertical="center"/>
    </xf>
    <xf numFmtId="1" fontId="66" fillId="0" borderId="78" xfId="0" applyNumberFormat="1" applyFont="1" applyFill="1" applyBorder="1" applyAlignment="1">
      <alignment horizontal="center" vertical="center"/>
    </xf>
    <xf numFmtId="1" fontId="66" fillId="0" borderId="0" xfId="0" applyNumberFormat="1" applyFont="1" applyFill="1" applyBorder="1" applyAlignment="1">
      <alignment horizontal="center" vertical="center"/>
    </xf>
    <xf numFmtId="1" fontId="66" fillId="0" borderId="11" xfId="0" applyNumberFormat="1" applyFont="1" applyBorder="1" applyAlignment="1">
      <alignment horizontal="center"/>
    </xf>
    <xf numFmtId="1" fontId="66" fillId="0" borderId="9" xfId="0" applyNumberFormat="1" applyFont="1" applyBorder="1" applyAlignment="1">
      <alignment horizontal="center"/>
    </xf>
    <xf numFmtId="1" fontId="66" fillId="0" borderId="12" xfId="0" applyNumberFormat="1" applyFont="1" applyBorder="1" applyAlignment="1">
      <alignment horizontal="center"/>
    </xf>
    <xf numFmtId="0" fontId="66" fillId="0" borderId="15" xfId="0" applyFont="1" applyFill="1" applyBorder="1"/>
    <xf numFmtId="0" fontId="71" fillId="0" borderId="16" xfId="0" applyFont="1" applyFill="1" applyBorder="1" applyAlignment="1">
      <alignment horizontal="center"/>
    </xf>
    <xf numFmtId="0" fontId="72" fillId="0" borderId="17" xfId="0" applyFont="1" applyFill="1" applyBorder="1" applyAlignment="1">
      <alignment horizontal="center" vertical="center"/>
    </xf>
    <xf numFmtId="0" fontId="66" fillId="0" borderId="15" xfId="0" applyFont="1" applyFill="1" applyBorder="1" applyAlignment="1">
      <alignment horizontal="right" vertical="center"/>
    </xf>
    <xf numFmtId="0" fontId="66" fillId="0" borderId="21" xfId="0" applyFont="1" applyFill="1" applyBorder="1" applyAlignment="1">
      <alignment horizontal="right" vertical="center"/>
    </xf>
    <xf numFmtId="1" fontId="66" fillId="0" borderId="17" xfId="0" applyNumberFormat="1" applyFont="1" applyFill="1" applyBorder="1" applyAlignment="1">
      <alignment horizontal="center" vertical="center"/>
    </xf>
    <xf numFmtId="0" fontId="71" fillId="6" borderId="13" xfId="0" applyFont="1" applyFill="1" applyBorder="1" applyAlignment="1">
      <alignment horizontal="center"/>
    </xf>
    <xf numFmtId="0" fontId="66" fillId="6" borderId="19" xfId="0" applyFont="1" applyFill="1" applyBorder="1"/>
    <xf numFmtId="0" fontId="66" fillId="6" borderId="14" xfId="0" applyFont="1" applyFill="1" applyBorder="1"/>
    <xf numFmtId="0" fontId="66" fillId="6" borderId="13" xfId="0" applyFont="1" applyFill="1" applyBorder="1"/>
    <xf numFmtId="0" fontId="68" fillId="6" borderId="0" xfId="0" applyFont="1" applyFill="1" applyBorder="1" applyAlignment="1">
      <alignment horizontal="center"/>
    </xf>
    <xf numFmtId="0" fontId="68" fillId="6" borderId="21" xfId="0" applyFont="1" applyFill="1" applyBorder="1" applyAlignment="1">
      <alignment horizontal="center"/>
    </xf>
    <xf numFmtId="164" fontId="68" fillId="6" borderId="17" xfId="1" applyNumberFormat="1" applyFont="1" applyFill="1" applyBorder="1" applyAlignment="1">
      <alignment horizontal="center"/>
    </xf>
    <xf numFmtId="164" fontId="68" fillId="0" borderId="0" xfId="1" applyNumberFormat="1" applyFont="1" applyFill="1" applyBorder="1" applyAlignment="1">
      <alignment horizontal="center"/>
    </xf>
    <xf numFmtId="165" fontId="73" fillId="6" borderId="13" xfId="0" applyNumberFormat="1" applyFont="1" applyFill="1" applyBorder="1"/>
    <xf numFmtId="164" fontId="73" fillId="6" borderId="19" xfId="1" applyNumberFormat="1" applyFont="1" applyFill="1" applyBorder="1"/>
    <xf numFmtId="0" fontId="68" fillId="6" borderId="65" xfId="0" applyFont="1" applyFill="1" applyBorder="1"/>
    <xf numFmtId="164" fontId="66" fillId="6" borderId="20" xfId="1" applyNumberFormat="1" applyFont="1" applyFill="1" applyBorder="1"/>
    <xf numFmtId="2" fontId="66" fillId="0" borderId="0" xfId="0" applyNumberFormat="1" applyFont="1" applyBorder="1" applyAlignment="1">
      <alignment horizontal="center"/>
    </xf>
    <xf numFmtId="164" fontId="66" fillId="6" borderId="14" xfId="1" applyNumberFormat="1" applyFont="1" applyFill="1" applyBorder="1" applyAlignment="1">
      <alignment horizontal="center"/>
    </xf>
    <xf numFmtId="164" fontId="66" fillId="0" borderId="0" xfId="1" applyNumberFormat="1" applyFont="1" applyFill="1" applyBorder="1" applyAlignment="1">
      <alignment horizontal="center"/>
    </xf>
    <xf numFmtId="0" fontId="66" fillId="0" borderId="13" xfId="0" applyFont="1" applyBorder="1"/>
    <xf numFmtId="0" fontId="66" fillId="0" borderId="0" xfId="0" applyFont="1" applyBorder="1"/>
    <xf numFmtId="0" fontId="66" fillId="0" borderId="14" xfId="0" applyFont="1" applyBorder="1"/>
    <xf numFmtId="0" fontId="68" fillId="6" borderId="13" xfId="0" applyFont="1" applyFill="1" applyBorder="1"/>
    <xf numFmtId="164" fontId="66" fillId="6" borderId="0" xfId="1" applyNumberFormat="1" applyFont="1" applyFill="1" applyBorder="1"/>
    <xf numFmtId="2" fontId="74" fillId="0" borderId="0" xfId="3" applyNumberFormat="1" applyFont="1" applyFill="1" applyBorder="1" applyAlignment="1">
      <alignment horizontal="center"/>
    </xf>
    <xf numFmtId="0" fontId="66" fillId="0" borderId="13" xfId="0" applyFont="1" applyBorder="1" applyAlignment="1">
      <alignment horizontal="center"/>
    </xf>
    <xf numFmtId="0" fontId="68" fillId="6" borderId="15" xfId="0" applyFont="1" applyFill="1" applyBorder="1"/>
    <xf numFmtId="164" fontId="66" fillId="6" borderId="21" xfId="1" applyNumberFormat="1" applyFont="1" applyFill="1" applyBorder="1"/>
    <xf numFmtId="2" fontId="66" fillId="0" borderId="21" xfId="0" applyNumberFormat="1" applyFont="1" applyBorder="1" applyAlignment="1">
      <alignment horizontal="center"/>
    </xf>
    <xf numFmtId="164" fontId="66" fillId="6" borderId="17" xfId="1" applyNumberFormat="1" applyFont="1" applyFill="1" applyBorder="1" applyAlignment="1">
      <alignment horizontal="center"/>
    </xf>
    <xf numFmtId="0" fontId="66" fillId="0" borderId="49" xfId="0" applyFont="1" applyBorder="1" applyAlignment="1">
      <alignment horizontal="center"/>
    </xf>
    <xf numFmtId="2" fontId="66" fillId="0" borderId="44" xfId="0" applyNumberFormat="1" applyFont="1" applyBorder="1" applyAlignment="1">
      <alignment horizontal="center"/>
    </xf>
    <xf numFmtId="0" fontId="66" fillId="0" borderId="44" xfId="0" applyFont="1" applyBorder="1"/>
    <xf numFmtId="0" fontId="66" fillId="0" borderId="25" xfId="0" applyFont="1" applyBorder="1"/>
    <xf numFmtId="0" fontId="75" fillId="6" borderId="19" xfId="0" applyFont="1" applyFill="1" applyBorder="1" applyAlignment="1">
      <alignment horizontal="center"/>
    </xf>
    <xf numFmtId="0" fontId="72" fillId="6" borderId="14" xfId="0" applyFont="1" applyFill="1" applyBorder="1" applyAlignment="1">
      <alignment horizontal="center" vertical="center"/>
    </xf>
    <xf numFmtId="0" fontId="68" fillId="6" borderId="53" xfId="0" applyFont="1" applyFill="1" applyBorder="1"/>
    <xf numFmtId="164" fontId="66" fillId="6" borderId="22" xfId="1" applyNumberFormat="1" applyFont="1" applyFill="1" applyBorder="1"/>
    <xf numFmtId="2" fontId="66" fillId="0" borderId="22" xfId="0" applyNumberFormat="1" applyFont="1" applyBorder="1" applyAlignment="1">
      <alignment horizontal="center"/>
    </xf>
    <xf numFmtId="164" fontId="66" fillId="6" borderId="54" xfId="1" applyNumberFormat="1" applyFont="1" applyFill="1" applyBorder="1" applyAlignment="1">
      <alignment horizontal="center"/>
    </xf>
    <xf numFmtId="0" fontId="73" fillId="6" borderId="13" xfId="0" applyFont="1" applyFill="1" applyBorder="1"/>
    <xf numFmtId="10" fontId="73" fillId="6" borderId="19" xfId="0" applyNumberFormat="1" applyFont="1" applyFill="1" applyBorder="1"/>
    <xf numFmtId="2" fontId="66" fillId="6" borderId="22" xfId="0" applyNumberFormat="1" applyFont="1" applyFill="1" applyBorder="1" applyAlignment="1">
      <alignment horizontal="center"/>
    </xf>
    <xf numFmtId="164" fontId="68" fillId="6" borderId="54" xfId="1" applyNumberFormat="1" applyFont="1" applyFill="1" applyBorder="1" applyAlignment="1">
      <alignment horizontal="center"/>
    </xf>
    <xf numFmtId="0" fontId="66" fillId="0" borderId="0" xfId="0" applyFont="1" applyFill="1" applyBorder="1"/>
    <xf numFmtId="164" fontId="73" fillId="6" borderId="19" xfId="0" applyNumberFormat="1" applyFont="1" applyFill="1" applyBorder="1"/>
    <xf numFmtId="0" fontId="66" fillId="6" borderId="0" xfId="0" applyFont="1" applyFill="1" applyBorder="1"/>
    <xf numFmtId="164" fontId="66" fillId="0" borderId="0" xfId="0" applyNumberFormat="1" applyFont="1" applyFill="1" applyBorder="1"/>
    <xf numFmtId="0" fontId="73" fillId="0" borderId="13" xfId="0" applyFont="1" applyFill="1" applyBorder="1"/>
    <xf numFmtId="164" fontId="73" fillId="0" borderId="19" xfId="0" applyNumberFormat="1" applyFont="1" applyFill="1" applyBorder="1"/>
    <xf numFmtId="0" fontId="66" fillId="0" borderId="14" xfId="0" applyFont="1" applyFill="1" applyBorder="1"/>
    <xf numFmtId="10" fontId="76" fillId="6" borderId="0" xfId="0" applyNumberFormat="1" applyFont="1" applyFill="1" applyBorder="1" applyAlignment="1">
      <alignment horizontal="center"/>
    </xf>
    <xf numFmtId="10" fontId="66" fillId="0" borderId="0" xfId="2" applyNumberFormat="1" applyFont="1" applyBorder="1" applyAlignment="1">
      <alignment horizontal="center"/>
    </xf>
    <xf numFmtId="164" fontId="68" fillId="6" borderId="14" xfId="0" applyNumberFormat="1" applyFont="1" applyFill="1" applyBorder="1"/>
    <xf numFmtId="10" fontId="66" fillId="6" borderId="0" xfId="0" applyNumberFormat="1" applyFont="1" applyFill="1" applyBorder="1" applyAlignment="1">
      <alignment horizontal="center" vertical="center"/>
    </xf>
    <xf numFmtId="164" fontId="66" fillId="6" borderId="14" xfId="0" applyNumberFormat="1" applyFont="1" applyFill="1" applyBorder="1"/>
    <xf numFmtId="164" fontId="68" fillId="0" borderId="0" xfId="0" applyNumberFormat="1" applyFont="1" applyFill="1" applyBorder="1"/>
    <xf numFmtId="10" fontId="73" fillId="6" borderId="19" xfId="2" applyNumberFormat="1" applyFont="1" applyFill="1" applyBorder="1"/>
    <xf numFmtId="0" fontId="66" fillId="6" borderId="22" xfId="0" applyFont="1" applyFill="1" applyBorder="1"/>
    <xf numFmtId="164" fontId="68" fillId="6" borderId="54" xfId="0" applyNumberFormat="1" applyFont="1" applyFill="1" applyBorder="1"/>
    <xf numFmtId="0" fontId="66" fillId="0" borderId="11" xfId="0" applyFont="1" applyBorder="1"/>
    <xf numFmtId="10" fontId="66" fillId="0" borderId="9" xfId="0" applyNumberFormat="1" applyFont="1" applyBorder="1" applyAlignment="1">
      <alignment horizontal="right"/>
    </xf>
    <xf numFmtId="0" fontId="66" fillId="0" borderId="12" xfId="0" applyFont="1" applyBorder="1"/>
    <xf numFmtId="164" fontId="66" fillId="0" borderId="0" xfId="1" applyNumberFormat="1" applyFont="1" applyFill="1" applyBorder="1"/>
    <xf numFmtId="0" fontId="73" fillId="0" borderId="11" xfId="0" applyFont="1" applyBorder="1"/>
    <xf numFmtId="10" fontId="73" fillId="0" borderId="24" xfId="2" applyNumberFormat="1" applyFont="1" applyFill="1" applyBorder="1"/>
    <xf numFmtId="0" fontId="73" fillId="6" borderId="12" xfId="0" applyFont="1" applyFill="1" applyBorder="1"/>
    <xf numFmtId="0" fontId="66" fillId="0" borderId="13" xfId="0" applyFont="1" applyFill="1" applyBorder="1"/>
    <xf numFmtId="164" fontId="66" fillId="0" borderId="14" xfId="0" applyNumberFormat="1" applyFont="1" applyFill="1" applyBorder="1"/>
    <xf numFmtId="164" fontId="66" fillId="6" borderId="0" xfId="0" applyNumberFormat="1" applyFont="1" applyFill="1" applyBorder="1" applyAlignment="1">
      <alignment horizontal="center"/>
    </xf>
    <xf numFmtId="164" fontId="66" fillId="6" borderId="14" xfId="1" applyNumberFormat="1" applyFont="1" applyFill="1" applyBorder="1"/>
    <xf numFmtId="44" fontId="66" fillId="6" borderId="0" xfId="0" applyNumberFormat="1" applyFont="1" applyFill="1" applyBorder="1" applyAlignment="1">
      <alignment horizontal="center"/>
    </xf>
    <xf numFmtId="164" fontId="66" fillId="6" borderId="54" xfId="0" applyNumberFormat="1" applyFont="1" applyFill="1" applyBorder="1"/>
    <xf numFmtId="0" fontId="68" fillId="0" borderId="0" xfId="0" applyFont="1" applyFill="1" applyBorder="1"/>
    <xf numFmtId="0" fontId="66" fillId="6" borderId="58" xfId="0" applyFont="1" applyFill="1" applyBorder="1"/>
    <xf numFmtId="0" fontId="66" fillId="6" borderId="26" xfId="0" applyFont="1" applyFill="1" applyBorder="1"/>
    <xf numFmtId="10" fontId="66" fillId="6" borderId="26" xfId="0" applyNumberFormat="1" applyFont="1" applyFill="1" applyBorder="1" applyAlignment="1">
      <alignment horizontal="center"/>
    </xf>
    <xf numFmtId="164" fontId="66" fillId="6" borderId="59" xfId="0" applyNumberFormat="1" applyFont="1" applyFill="1" applyBorder="1"/>
    <xf numFmtId="0" fontId="66" fillId="6" borderId="62" xfId="0" applyFont="1" applyFill="1" applyBorder="1"/>
    <xf numFmtId="10" fontId="76" fillId="6" borderId="63" xfId="0" applyNumberFormat="1" applyFont="1" applyFill="1" applyBorder="1" applyAlignment="1">
      <alignment horizontal="center"/>
    </xf>
    <xf numFmtId="0" fontId="66" fillId="0" borderId="63" xfId="0" applyFont="1" applyBorder="1"/>
    <xf numFmtId="164" fontId="66" fillId="0" borderId="64" xfId="0" applyNumberFormat="1" applyFont="1" applyBorder="1"/>
    <xf numFmtId="0" fontId="78" fillId="0" borderId="0" xfId="0" applyFont="1" applyFill="1" applyBorder="1"/>
    <xf numFmtId="0" fontId="66" fillId="6" borderId="83" xfId="0" applyFont="1" applyFill="1" applyBorder="1"/>
    <xf numFmtId="10" fontId="79" fillId="6" borderId="84" xfId="0" applyNumberFormat="1" applyFont="1" applyFill="1" applyBorder="1" applyAlignment="1">
      <alignment horizontal="center"/>
    </xf>
    <xf numFmtId="10" fontId="66" fillId="6" borderId="84" xfId="0" applyNumberFormat="1" applyFont="1" applyFill="1" applyBorder="1" applyAlignment="1">
      <alignment horizontal="center"/>
    </xf>
    <xf numFmtId="164" fontId="66" fillId="6" borderId="85" xfId="0" applyNumberFormat="1" applyFont="1" applyFill="1" applyBorder="1"/>
    <xf numFmtId="0" fontId="68" fillId="0" borderId="11" xfId="0" applyFont="1" applyBorder="1"/>
    <xf numFmtId="0" fontId="66" fillId="6" borderId="9" xfId="0" applyFont="1" applyFill="1" applyBorder="1"/>
    <xf numFmtId="44" fontId="68" fillId="0" borderId="12" xfId="0" applyNumberFormat="1" applyFont="1" applyFill="1" applyBorder="1"/>
    <xf numFmtId="0" fontId="66" fillId="0" borderId="0" xfId="0" applyFont="1" applyBorder="1" applyAlignment="1">
      <alignment horizontal="right"/>
    </xf>
    <xf numFmtId="0" fontId="66" fillId="0" borderId="0" xfId="0" applyFont="1" applyBorder="1" applyAlignment="1">
      <alignment horizontal="center"/>
    </xf>
    <xf numFmtId="44" fontId="68" fillId="9" borderId="14" xfId="0" applyNumberFormat="1" applyFont="1" applyFill="1" applyBorder="1"/>
    <xf numFmtId="164" fontId="80" fillId="0" borderId="0" xfId="0" applyNumberFormat="1" applyFont="1" applyFill="1" applyBorder="1"/>
    <xf numFmtId="0" fontId="66" fillId="0" borderId="49" xfId="0" applyFont="1" applyBorder="1"/>
    <xf numFmtId="0" fontId="66" fillId="0" borderId="44" xfId="0" applyFont="1" applyBorder="1" applyAlignment="1">
      <alignment horizontal="right"/>
    </xf>
    <xf numFmtId="0" fontId="66" fillId="0" borderId="44" xfId="0" applyFont="1" applyBorder="1" applyAlignment="1">
      <alignment horizontal="center"/>
    </xf>
    <xf numFmtId="44" fontId="68" fillId="9" borderId="25" xfId="0" applyNumberFormat="1" applyFont="1" applyFill="1" applyBorder="1"/>
    <xf numFmtId="44" fontId="68" fillId="0" borderId="0" xfId="0" applyNumberFormat="1" applyFont="1" applyFill="1" applyBorder="1"/>
    <xf numFmtId="0" fontId="66" fillId="0" borderId="0" xfId="0" applyFont="1" applyAlignment="1">
      <alignment horizontal="center"/>
    </xf>
    <xf numFmtId="44" fontId="66" fillId="0" borderId="0" xfId="0" applyNumberFormat="1" applyFont="1" applyFill="1" applyBorder="1"/>
    <xf numFmtId="10" fontId="68" fillId="0" borderId="0" xfId="2" applyNumberFormat="1" applyFont="1" applyFill="1" applyBorder="1"/>
    <xf numFmtId="44" fontId="66" fillId="0" borderId="0" xfId="1" applyFont="1"/>
    <xf numFmtId="0" fontId="68" fillId="43" borderId="11" xfId="0" applyFont="1" applyFill="1" applyBorder="1" applyAlignment="1">
      <alignment horizontal="center"/>
    </xf>
    <xf numFmtId="0" fontId="68" fillId="43" borderId="9" xfId="0" applyFont="1" applyFill="1" applyBorder="1" applyAlignment="1">
      <alignment horizontal="center"/>
    </xf>
    <xf numFmtId="0" fontId="68" fillId="43" borderId="12" xfId="0" applyFont="1" applyFill="1" applyBorder="1" applyAlignment="1">
      <alignment horizontal="center"/>
    </xf>
    <xf numFmtId="44" fontId="68" fillId="9" borderId="12" xfId="0" applyNumberFormat="1" applyFont="1" applyFill="1" applyBorder="1"/>
    <xf numFmtId="165" fontId="68" fillId="6" borderId="13" xfId="0" applyNumberFormat="1" applyFont="1" applyFill="1" applyBorder="1"/>
    <xf numFmtId="0" fontId="81" fillId="6" borderId="53" xfId="0" applyFont="1" applyFill="1" applyBorder="1"/>
    <xf numFmtId="0" fontId="66" fillId="0" borderId="22" xfId="0" applyFont="1" applyBorder="1"/>
    <xf numFmtId="0" fontId="66" fillId="0" borderId="54" xfId="0" applyFont="1" applyBorder="1"/>
    <xf numFmtId="0" fontId="69" fillId="6" borderId="53" xfId="0" applyFont="1" applyFill="1" applyBorder="1"/>
    <xf numFmtId="0" fontId="69" fillId="6" borderId="13" xfId="0" applyFont="1" applyFill="1" applyBorder="1"/>
    <xf numFmtId="2" fontId="66" fillId="6" borderId="0" xfId="0" applyNumberFormat="1" applyFont="1" applyFill="1" applyBorder="1" applyAlignment="1">
      <alignment horizontal="center"/>
    </xf>
    <xf numFmtId="164" fontId="68" fillId="6" borderId="14" xfId="1" applyNumberFormat="1" applyFont="1" applyFill="1" applyBorder="1" applyAlignment="1">
      <alignment horizontal="center"/>
    </xf>
    <xf numFmtId="10" fontId="66" fillId="6" borderId="0" xfId="0" applyNumberFormat="1" applyFont="1" applyFill="1" applyBorder="1" applyAlignment="1">
      <alignment horizontal="center"/>
    </xf>
    <xf numFmtId="164" fontId="66" fillId="0" borderId="0" xfId="0" applyNumberFormat="1" applyFont="1" applyFill="1" applyBorder="1" applyAlignment="1">
      <alignment horizontal="center"/>
    </xf>
    <xf numFmtId="164" fontId="66" fillId="0" borderId="14" xfId="1" applyNumberFormat="1" applyFont="1" applyFill="1" applyBorder="1"/>
    <xf numFmtId="10" fontId="76" fillId="6" borderId="26" xfId="0" applyNumberFormat="1" applyFont="1" applyFill="1" applyBorder="1" applyAlignment="1">
      <alignment horizontal="center"/>
    </xf>
    <xf numFmtId="0" fontId="66" fillId="6" borderId="53" xfId="0" applyFont="1" applyFill="1" applyBorder="1"/>
    <xf numFmtId="10" fontId="76" fillId="6" borderId="22" xfId="0" applyNumberFormat="1" applyFont="1" applyFill="1" applyBorder="1" applyAlignment="1">
      <alignment horizontal="center"/>
    </xf>
    <xf numFmtId="10" fontId="66" fillId="6" borderId="22" xfId="0" applyNumberFormat="1" applyFont="1" applyFill="1" applyBorder="1" applyAlignment="1">
      <alignment horizontal="center"/>
    </xf>
    <xf numFmtId="0" fontId="66" fillId="6" borderId="49" xfId="0" applyFont="1" applyFill="1" applyBorder="1"/>
    <xf numFmtId="0" fontId="66" fillId="6" borderId="44" xfId="0" applyFont="1" applyFill="1" applyBorder="1"/>
    <xf numFmtId="164" fontId="66" fillId="6" borderId="25" xfId="0" applyNumberFormat="1" applyFont="1" applyFill="1" applyBorder="1"/>
    <xf numFmtId="0" fontId="66" fillId="0" borderId="15" xfId="0" applyFont="1" applyBorder="1"/>
    <xf numFmtId="0" fontId="68" fillId="6" borderId="21" xfId="0" applyFont="1" applyFill="1" applyBorder="1"/>
    <xf numFmtId="0" fontId="68" fillId="0" borderId="21" xfId="0" applyFont="1" applyBorder="1"/>
    <xf numFmtId="44" fontId="68" fillId="9" borderId="17" xfId="0" applyNumberFormat="1" applyFont="1" applyFill="1" applyBorder="1"/>
    <xf numFmtId="0" fontId="66" fillId="0" borderId="53" xfId="0" applyFont="1" applyBorder="1"/>
    <xf numFmtId="0" fontId="68" fillId="0" borderId="22" xfId="0" applyFont="1" applyBorder="1"/>
    <xf numFmtId="44" fontId="68" fillId="9" borderId="54" xfId="1" applyFont="1" applyFill="1" applyBorder="1"/>
    <xf numFmtId="44" fontId="68" fillId="0" borderId="0" xfId="1" applyFont="1" applyFill="1" applyBorder="1"/>
    <xf numFmtId="0" fontId="66" fillId="0" borderId="83" xfId="0" applyFont="1" applyBorder="1"/>
    <xf numFmtId="0" fontId="68" fillId="0" borderId="84" xfId="0" applyFont="1" applyBorder="1"/>
    <xf numFmtId="44" fontId="68" fillId="9" borderId="85" xfId="1" applyFont="1" applyFill="1" applyBorder="1"/>
    <xf numFmtId="168" fontId="66" fillId="0" borderId="0" xfId="0" applyNumberFormat="1" applyFont="1"/>
    <xf numFmtId="0" fontId="77" fillId="0" borderId="0" xfId="0" applyFont="1"/>
    <xf numFmtId="164" fontId="66" fillId="0" borderId="0" xfId="1" applyNumberFormat="1" applyFont="1"/>
    <xf numFmtId="5" fontId="66" fillId="6" borderId="20" xfId="1" applyNumberFormat="1" applyFont="1" applyFill="1" applyBorder="1" applyAlignment="1">
      <alignment horizontal="left"/>
    </xf>
    <xf numFmtId="5" fontId="66" fillId="6" borderId="0" xfId="1" applyNumberFormat="1" applyFont="1" applyFill="1" applyBorder="1" applyAlignment="1">
      <alignment horizontal="left"/>
    </xf>
    <xf numFmtId="164" fontId="72" fillId="6" borderId="19" xfId="1" applyNumberFormat="1" applyFont="1" applyFill="1" applyBorder="1"/>
    <xf numFmtId="5" fontId="66" fillId="6" borderId="21" xfId="1" applyNumberFormat="1" applyFont="1" applyFill="1" applyBorder="1" applyAlignment="1">
      <alignment horizontal="left"/>
    </xf>
    <xf numFmtId="0" fontId="81" fillId="6" borderId="13" xfId="0" applyFont="1" applyFill="1" applyBorder="1"/>
    <xf numFmtId="10" fontId="66" fillId="0" borderId="0" xfId="0" applyNumberFormat="1" applyFont="1"/>
    <xf numFmtId="10" fontId="66" fillId="0" borderId="0" xfId="0" applyNumberFormat="1" applyFont="1" applyAlignment="1">
      <alignment horizontal="left"/>
    </xf>
    <xf numFmtId="5" fontId="66" fillId="0" borderId="0" xfId="1" applyNumberFormat="1" applyFont="1" applyAlignment="1">
      <alignment horizontal="left"/>
    </xf>
    <xf numFmtId="0" fontId="66" fillId="0" borderId="0" xfId="0" applyFont="1" applyAlignment="1">
      <alignment horizontal="left"/>
    </xf>
    <xf numFmtId="0" fontId="81" fillId="6" borderId="58" xfId="0" applyFont="1" applyFill="1" applyBorder="1"/>
    <xf numFmtId="0" fontId="81" fillId="6" borderId="83" xfId="0" applyFont="1" applyFill="1" applyBorder="1"/>
    <xf numFmtId="0" fontId="17" fillId="0" borderId="44" xfId="0" applyFont="1" applyBorder="1" applyAlignment="1">
      <alignment horizontal="center"/>
    </xf>
    <xf numFmtId="0" fontId="16" fillId="0" borderId="0" xfId="0" applyFont="1"/>
    <xf numFmtId="0" fontId="20" fillId="6" borderId="11" xfId="0" applyFont="1" applyFill="1" applyBorder="1" applyAlignment="1">
      <alignment horizontal="center"/>
    </xf>
    <xf numFmtId="0" fontId="20" fillId="6" borderId="9" xfId="0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16" fillId="6" borderId="8" xfId="0" applyFont="1" applyFill="1" applyBorder="1"/>
    <xf numFmtId="0" fontId="17" fillId="6" borderId="18" xfId="0" applyFont="1" applyFill="1" applyBorder="1" applyAlignment="1">
      <alignment horizontal="center"/>
    </xf>
    <xf numFmtId="0" fontId="17" fillId="6" borderId="51" xfId="0" applyFont="1" applyFill="1" applyBorder="1" applyAlignment="1">
      <alignment horizontal="center"/>
    </xf>
    <xf numFmtId="164" fontId="17" fillId="6" borderId="52" xfId="1" applyNumberFormat="1" applyFont="1" applyFill="1" applyBorder="1" applyAlignment="1">
      <alignment horizontal="center"/>
    </xf>
    <xf numFmtId="164" fontId="17" fillId="6" borderId="0" xfId="1" applyNumberFormat="1" applyFont="1" applyFill="1" applyBorder="1" applyAlignment="1">
      <alignment horizontal="center"/>
    </xf>
    <xf numFmtId="0" fontId="16" fillId="0" borderId="15" xfId="0" applyFont="1" applyFill="1" applyBorder="1"/>
    <xf numFmtId="0" fontId="15" fillId="0" borderId="16" xfId="0" applyFont="1" applyFill="1" applyBorder="1" applyAlignment="1">
      <alignment horizontal="center"/>
    </xf>
    <xf numFmtId="0" fontId="17" fillId="6" borderId="65" xfId="0" applyFont="1" applyFill="1" applyBorder="1"/>
    <xf numFmtId="164" fontId="16" fillId="6" borderId="20" xfId="1" applyNumberFormat="1" applyFont="1" applyFill="1" applyBorder="1"/>
    <xf numFmtId="2" fontId="16" fillId="6" borderId="0" xfId="0" applyNumberFormat="1" applyFont="1" applyFill="1" applyBorder="1" applyAlignment="1">
      <alignment horizontal="center"/>
    </xf>
    <xf numFmtId="164" fontId="16" fillId="6" borderId="14" xfId="1" applyNumberFormat="1" applyFont="1" applyFill="1" applyBorder="1" applyAlignment="1">
      <alignment horizontal="center"/>
    </xf>
    <xf numFmtId="164" fontId="16" fillId="6" borderId="0" xfId="1" applyNumberFormat="1" applyFont="1" applyFill="1" applyBorder="1" applyAlignment="1">
      <alignment horizontal="center"/>
    </xf>
    <xf numFmtId="164" fontId="16" fillId="0" borderId="0" xfId="0" applyNumberFormat="1" applyFont="1"/>
    <xf numFmtId="0" fontId="15" fillId="6" borderId="13" xfId="0" applyFont="1" applyFill="1" applyBorder="1" applyAlignment="1">
      <alignment horizontal="center"/>
    </xf>
    <xf numFmtId="0" fontId="16" fillId="6" borderId="19" xfId="0" applyFont="1" applyFill="1" applyBorder="1"/>
    <xf numFmtId="0" fontId="16" fillId="6" borderId="14" xfId="0" applyFont="1" applyFill="1" applyBorder="1"/>
    <xf numFmtId="0" fontId="17" fillId="6" borderId="13" xfId="0" applyFont="1" applyFill="1" applyBorder="1"/>
    <xf numFmtId="164" fontId="16" fillId="0" borderId="0" xfId="1" applyNumberFormat="1" applyFont="1" applyFill="1" applyBorder="1"/>
    <xf numFmtId="2" fontId="16" fillId="0" borderId="0" xfId="0" applyNumberFormat="1" applyFont="1" applyFill="1" applyBorder="1" applyAlignment="1">
      <alignment horizontal="center"/>
    </xf>
    <xf numFmtId="164" fontId="16" fillId="0" borderId="14" xfId="1" applyNumberFormat="1" applyFont="1" applyFill="1" applyBorder="1" applyAlignment="1">
      <alignment horizontal="center"/>
    </xf>
    <xf numFmtId="165" fontId="16" fillId="0" borderId="13" xfId="0" applyNumberFormat="1" applyFont="1" applyFill="1" applyBorder="1"/>
    <xf numFmtId="164" fontId="16" fillId="0" borderId="19" xfId="1" applyNumberFormat="1" applyFont="1" applyFill="1" applyBorder="1"/>
    <xf numFmtId="165" fontId="17" fillId="6" borderId="13" xfId="0" applyNumberFormat="1" applyFont="1" applyFill="1" applyBorder="1"/>
    <xf numFmtId="0" fontId="17" fillId="6" borderId="15" xfId="0" applyFont="1" applyFill="1" applyBorder="1"/>
    <xf numFmtId="164" fontId="16" fillId="0" borderId="21" xfId="1" applyNumberFormat="1" applyFont="1" applyFill="1" applyBorder="1"/>
    <xf numFmtId="2" fontId="16" fillId="0" borderId="21" xfId="0" applyNumberFormat="1" applyFont="1" applyFill="1" applyBorder="1" applyAlignment="1">
      <alignment horizontal="center"/>
    </xf>
    <xf numFmtId="164" fontId="16" fillId="0" borderId="17" xfId="1" applyNumberFormat="1" applyFont="1" applyFill="1" applyBorder="1" applyAlignment="1">
      <alignment horizontal="center"/>
    </xf>
    <xf numFmtId="164" fontId="16" fillId="0" borderId="14" xfId="1" applyNumberFormat="1" applyFont="1" applyFill="1" applyBorder="1"/>
    <xf numFmtId="0" fontId="20" fillId="6" borderId="53" xfId="0" applyFont="1" applyFill="1" applyBorder="1"/>
    <xf numFmtId="0" fontId="20" fillId="0" borderId="22" xfId="0" applyFont="1" applyFill="1" applyBorder="1"/>
    <xf numFmtId="2" fontId="20" fillId="0" borderId="22" xfId="0" applyNumberFormat="1" applyFont="1" applyFill="1" applyBorder="1" applyAlignment="1">
      <alignment horizontal="center"/>
    </xf>
    <xf numFmtId="164" fontId="20" fillId="0" borderId="54" xfId="1" applyNumberFormat="1" applyFont="1" applyFill="1" applyBorder="1"/>
    <xf numFmtId="164" fontId="83" fillId="0" borderId="0" xfId="1" applyNumberFormat="1" applyFont="1" applyFill="1" applyBorder="1" applyAlignment="1">
      <alignment horizontal="center"/>
    </xf>
    <xf numFmtId="164" fontId="16" fillId="0" borderId="0" xfId="0" applyNumberFormat="1" applyFont="1" applyFill="1"/>
    <xf numFmtId="0" fontId="17" fillId="0" borderId="13" xfId="0" applyFont="1" applyFill="1" applyBorder="1" applyAlignment="1">
      <alignment horizontal="center"/>
    </xf>
    <xf numFmtId="0" fontId="16" fillId="0" borderId="19" xfId="0" applyFont="1" applyFill="1" applyBorder="1" applyAlignment="1"/>
    <xf numFmtId="0" fontId="16" fillId="0" borderId="0" xfId="0" applyFont="1" applyFill="1" applyBorder="1"/>
    <xf numFmtId="0" fontId="16" fillId="0" borderId="14" xfId="0" applyFont="1" applyFill="1" applyBorder="1"/>
    <xf numFmtId="165" fontId="16" fillId="0" borderId="55" xfId="0" applyNumberFormat="1" applyFont="1" applyFill="1" applyBorder="1" applyAlignment="1">
      <alignment vertical="center"/>
    </xf>
    <xf numFmtId="2" fontId="16" fillId="0" borderId="19" xfId="0" applyNumberFormat="1" applyFont="1" applyFill="1" applyBorder="1" applyAlignment="1">
      <alignment horizontal="right" vertical="center"/>
    </xf>
    <xf numFmtId="0" fontId="83" fillId="6" borderId="13" xfId="0" applyFont="1" applyFill="1" applyBorder="1"/>
    <xf numFmtId="10" fontId="83" fillId="0" borderId="0" xfId="0" applyNumberFormat="1" applyFont="1" applyFill="1" applyBorder="1" applyAlignment="1">
      <alignment horizontal="center"/>
    </xf>
    <xf numFmtId="10" fontId="16" fillId="0" borderId="0" xfId="2" applyNumberFormat="1" applyFont="1" applyFill="1" applyBorder="1" applyAlignment="1">
      <alignment horizontal="center"/>
    </xf>
    <xf numFmtId="164" fontId="20" fillId="0" borderId="14" xfId="0" applyNumberFormat="1" applyFont="1" applyFill="1" applyBorder="1"/>
    <xf numFmtId="164" fontId="20" fillId="0" borderId="0" xfId="1" applyNumberFormat="1" applyFont="1" applyFill="1" applyBorder="1"/>
    <xf numFmtId="10" fontId="16" fillId="0" borderId="0" xfId="0" applyNumberFormat="1" applyFont="1" applyFill="1" applyBorder="1" applyAlignment="1">
      <alignment horizontal="center"/>
    </xf>
    <xf numFmtId="164" fontId="16" fillId="0" borderId="14" xfId="0" applyNumberFormat="1" applyFont="1" applyFill="1" applyBorder="1"/>
    <xf numFmtId="2" fontId="16" fillId="0" borderId="19" xfId="0" applyNumberFormat="1" applyFont="1" applyFill="1" applyBorder="1" applyAlignment="1">
      <alignment vertical="center"/>
    </xf>
    <xf numFmtId="0" fontId="16" fillId="0" borderId="22" xfId="0" applyFont="1" applyFill="1" applyBorder="1"/>
    <xf numFmtId="164" fontId="20" fillId="0" borderId="54" xfId="0" applyNumberFormat="1" applyFont="1" applyFill="1" applyBorder="1"/>
    <xf numFmtId="164" fontId="20" fillId="0" borderId="0" xfId="0" applyNumberFormat="1" applyFont="1" applyFill="1" applyBorder="1"/>
    <xf numFmtId="164" fontId="83" fillId="0" borderId="14" xfId="0" applyNumberFormat="1" applyFont="1" applyFill="1" applyBorder="1"/>
    <xf numFmtId="164" fontId="16" fillId="0" borderId="0" xfId="0" applyNumberFormat="1" applyFont="1" applyFill="1" applyBorder="1"/>
    <xf numFmtId="0" fontId="16" fillId="0" borderId="13" xfId="0" applyFont="1" applyFill="1" applyBorder="1"/>
    <xf numFmtId="10" fontId="16" fillId="0" borderId="19" xfId="0" applyNumberFormat="1" applyFont="1" applyFill="1" applyBorder="1" applyAlignment="1">
      <alignment horizontal="right"/>
    </xf>
    <xf numFmtId="164" fontId="83" fillId="0" borderId="0" xfId="0" applyNumberFormat="1" applyFont="1" applyFill="1" applyBorder="1" applyAlignment="1">
      <alignment horizontal="center"/>
    </xf>
    <xf numFmtId="164" fontId="83" fillId="0" borderId="14" xfId="1" applyNumberFormat="1" applyFont="1" applyFill="1" applyBorder="1"/>
    <xf numFmtId="164" fontId="16" fillId="0" borderId="19" xfId="0" applyNumberFormat="1" applyFont="1" applyFill="1" applyBorder="1"/>
    <xf numFmtId="164" fontId="83" fillId="0" borderId="0" xfId="0" applyNumberFormat="1" applyFont="1" applyFill="1" applyBorder="1"/>
    <xf numFmtId="0" fontId="83" fillId="0" borderId="13" xfId="0" applyFont="1" applyFill="1" applyBorder="1"/>
    <xf numFmtId="164" fontId="83" fillId="0" borderId="0" xfId="1" applyNumberFormat="1" applyFont="1" applyFill="1" applyBorder="1"/>
    <xf numFmtId="44" fontId="83" fillId="0" borderId="0" xfId="0" applyNumberFormat="1" applyFont="1" applyFill="1" applyBorder="1" applyAlignment="1">
      <alignment horizontal="center"/>
    </xf>
    <xf numFmtId="0" fontId="16" fillId="6" borderId="22" xfId="0" applyFont="1" applyFill="1" applyBorder="1"/>
    <xf numFmtId="164" fontId="16" fillId="6" borderId="54" xfId="0" applyNumberFormat="1" applyFont="1" applyFill="1" applyBorder="1"/>
    <xf numFmtId="10" fontId="16" fillId="0" borderId="19" xfId="2" applyNumberFormat="1" applyFont="1" applyFill="1" applyBorder="1"/>
    <xf numFmtId="0" fontId="83" fillId="6" borderId="58" xfId="0" applyFont="1" applyFill="1" applyBorder="1"/>
    <xf numFmtId="0" fontId="16" fillId="6" borderId="26" xfId="0" applyFont="1" applyFill="1" applyBorder="1"/>
    <xf numFmtId="10" fontId="16" fillId="6" borderId="26" xfId="0" applyNumberFormat="1" applyFont="1" applyFill="1" applyBorder="1"/>
    <xf numFmtId="164" fontId="16" fillId="6" borderId="59" xfId="0" applyNumberFormat="1" applyFont="1" applyFill="1" applyBorder="1"/>
    <xf numFmtId="0" fontId="16" fillId="0" borderId="49" xfId="0" applyFont="1" applyFill="1" applyBorder="1"/>
    <xf numFmtId="10" fontId="17" fillId="0" borderId="44" xfId="0" applyNumberFormat="1" applyFont="1" applyFill="1" applyBorder="1"/>
    <xf numFmtId="0" fontId="83" fillId="6" borderId="62" xfId="0" applyFont="1" applyFill="1" applyBorder="1"/>
    <xf numFmtId="0" fontId="16" fillId="6" borderId="63" xfId="0" applyFont="1" applyFill="1" applyBorder="1"/>
    <xf numFmtId="164" fontId="16" fillId="6" borderId="64" xfId="0" applyNumberFormat="1" applyFont="1" applyFill="1" applyBorder="1"/>
    <xf numFmtId="164" fontId="16" fillId="6" borderId="0" xfId="0" applyNumberFormat="1" applyFont="1" applyFill="1" applyBorder="1"/>
    <xf numFmtId="0" fontId="16" fillId="0" borderId="9" xfId="0" applyFont="1" applyBorder="1"/>
    <xf numFmtId="0" fontId="16" fillId="0" borderId="12" xfId="0" applyFont="1" applyFill="1" applyBorder="1"/>
    <xf numFmtId="10" fontId="83" fillId="6" borderId="49" xfId="2" applyNumberFormat="1" applyFont="1" applyFill="1" applyBorder="1"/>
    <xf numFmtId="10" fontId="16" fillId="6" borderId="44" xfId="2" applyNumberFormat="1" applyFont="1" applyFill="1" applyBorder="1"/>
    <xf numFmtId="10" fontId="16" fillId="6" borderId="44" xfId="2" applyNumberFormat="1" applyFont="1" applyFill="1" applyBorder="1" applyAlignment="1">
      <alignment horizontal="right"/>
    </xf>
    <xf numFmtId="164" fontId="16" fillId="6" borderId="25" xfId="1" applyNumberFormat="1" applyFont="1" applyFill="1" applyBorder="1"/>
    <xf numFmtId="0" fontId="17" fillId="6" borderId="0" xfId="0" applyFont="1" applyFill="1" applyBorder="1" applyAlignment="1">
      <alignment horizontal="center"/>
    </xf>
    <xf numFmtId="0" fontId="83" fillId="0" borderId="11" xfId="0" applyFont="1" applyBorder="1"/>
    <xf numFmtId="10" fontId="16" fillId="0" borderId="9" xfId="0" applyNumberFormat="1" applyFont="1" applyBorder="1" applyAlignment="1">
      <alignment horizontal="center"/>
    </xf>
    <xf numFmtId="164" fontId="16" fillId="0" borderId="12" xfId="1" applyNumberFormat="1" applyFont="1" applyBorder="1"/>
    <xf numFmtId="0" fontId="17" fillId="6" borderId="11" xfId="0" applyFont="1" applyFill="1" applyBorder="1"/>
    <xf numFmtId="164" fontId="17" fillId="9" borderId="12" xfId="1" applyNumberFormat="1" applyFont="1" applyFill="1" applyBorder="1"/>
    <xf numFmtId="164" fontId="17" fillId="6" borderId="0" xfId="0" applyNumberFormat="1" applyFont="1" applyFill="1" applyBorder="1"/>
    <xf numFmtId="164" fontId="16" fillId="0" borderId="0" xfId="1" applyNumberFormat="1" applyFont="1"/>
    <xf numFmtId="10" fontId="16" fillId="0" borderId="0" xfId="2" applyNumberFormat="1" applyFont="1"/>
    <xf numFmtId="0" fontId="16" fillId="6" borderId="0" xfId="0" applyFont="1" applyFill="1" applyBorder="1"/>
    <xf numFmtId="44" fontId="17" fillId="6" borderId="0" xfId="0" applyNumberFormat="1" applyFont="1" applyFill="1" applyBorder="1"/>
    <xf numFmtId="44" fontId="16" fillId="0" borderId="0" xfId="0" applyNumberFormat="1" applyFont="1"/>
    <xf numFmtId="0" fontId="20" fillId="44" borderId="11" xfId="0" applyFont="1" applyFill="1" applyBorder="1" applyAlignment="1">
      <alignment horizontal="center"/>
    </xf>
    <xf numFmtId="0" fontId="20" fillId="44" borderId="9" xfId="0" applyFont="1" applyFill="1" applyBorder="1" applyAlignment="1">
      <alignment horizontal="center"/>
    </xf>
    <xf numFmtId="0" fontId="20" fillId="44" borderId="12" xfId="0" applyFont="1" applyFill="1" applyBorder="1" applyAlignment="1">
      <alignment horizontal="center"/>
    </xf>
    <xf numFmtId="0" fontId="17" fillId="0" borderId="65" xfId="0" applyFont="1" applyFill="1" applyBorder="1"/>
    <xf numFmtId="164" fontId="16" fillId="0" borderId="20" xfId="1" applyNumberFormat="1" applyFont="1" applyFill="1" applyBorder="1"/>
    <xf numFmtId="0" fontId="16" fillId="0" borderId="19" xfId="0" applyFont="1" applyFill="1" applyBorder="1"/>
    <xf numFmtId="165" fontId="17" fillId="0" borderId="13" xfId="0" applyNumberFormat="1" applyFont="1" applyFill="1" applyBorder="1"/>
    <xf numFmtId="0" fontId="17" fillId="0" borderId="13" xfId="0" applyFont="1" applyFill="1" applyBorder="1"/>
    <xf numFmtId="0" fontId="17" fillId="0" borderId="15" xfId="0" applyFont="1" applyFill="1" applyBorder="1"/>
    <xf numFmtId="0" fontId="20" fillId="0" borderId="53" xfId="0" applyFont="1" applyFill="1" applyBorder="1"/>
    <xf numFmtId="0" fontId="16" fillId="0" borderId="86" xfId="0" applyFont="1" applyFill="1" applyBorder="1" applyAlignment="1">
      <alignment wrapText="1"/>
    </xf>
    <xf numFmtId="164" fontId="16" fillId="0" borderId="54" xfId="0" applyNumberFormat="1" applyFont="1" applyFill="1" applyBorder="1"/>
    <xf numFmtId="10" fontId="83" fillId="6" borderId="26" xfId="0" applyNumberFormat="1" applyFont="1" applyFill="1" applyBorder="1" applyAlignment="1">
      <alignment horizontal="center"/>
    </xf>
    <xf numFmtId="10" fontId="83" fillId="6" borderId="0" xfId="0" applyNumberFormat="1" applyFont="1" applyFill="1" applyBorder="1" applyAlignment="1">
      <alignment horizontal="center"/>
    </xf>
    <xf numFmtId="164" fontId="16" fillId="6" borderId="14" xfId="0" applyNumberFormat="1" applyFont="1" applyFill="1" applyBorder="1"/>
    <xf numFmtId="0" fontId="16" fillId="6" borderId="11" xfId="0" applyFont="1" applyFill="1" applyBorder="1"/>
    <xf numFmtId="10" fontId="17" fillId="6" borderId="9" xfId="0" applyNumberFormat="1" applyFont="1" applyFill="1" applyBorder="1"/>
    <xf numFmtId="164" fontId="16" fillId="0" borderId="12" xfId="1" applyNumberFormat="1" applyFont="1" applyFill="1" applyBorder="1"/>
    <xf numFmtId="0" fontId="16" fillId="0" borderId="11" xfId="0" applyFont="1" applyBorder="1"/>
    <xf numFmtId="0" fontId="16" fillId="0" borderId="12" xfId="0" applyFont="1" applyBorder="1"/>
    <xf numFmtId="164" fontId="16" fillId="0" borderId="12" xfId="0" applyNumberFormat="1" applyFont="1" applyBorder="1"/>
    <xf numFmtId="0" fontId="20" fillId="6" borderId="11" xfId="0" applyFont="1" applyFill="1" applyBorder="1"/>
    <xf numFmtId="164" fontId="17" fillId="9" borderId="12" xfId="0" applyNumberFormat="1" applyFont="1" applyFill="1" applyBorder="1"/>
    <xf numFmtId="10" fontId="17" fillId="6" borderId="0" xfId="0" applyNumberFormat="1" applyFont="1" applyFill="1" applyBorder="1"/>
    <xf numFmtId="0" fontId="72" fillId="6" borderId="0" xfId="0" applyFont="1" applyFill="1" applyBorder="1"/>
    <xf numFmtId="10" fontId="16" fillId="0" borderId="49" xfId="0" applyNumberFormat="1" applyFont="1" applyBorder="1"/>
    <xf numFmtId="10" fontId="16" fillId="0" borderId="0" xfId="0" applyNumberFormat="1" applyFont="1"/>
    <xf numFmtId="0" fontId="86" fillId="0" borderId="44" xfId="0" applyFont="1" applyBorder="1" applyAlignment="1">
      <alignment horizontal="center"/>
    </xf>
    <xf numFmtId="16" fontId="0" fillId="0" borderId="0" xfId="0" applyNumberFormat="1"/>
    <xf numFmtId="0" fontId="12" fillId="44" borderId="11" xfId="0" applyFont="1" applyFill="1" applyBorder="1" applyAlignment="1">
      <alignment horizontal="center"/>
    </xf>
    <xf numFmtId="0" fontId="12" fillId="44" borderId="9" xfId="0" applyFont="1" applyFill="1" applyBorder="1" applyAlignment="1">
      <alignment horizontal="center"/>
    </xf>
    <xf numFmtId="0" fontId="12" fillId="44" borderId="12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/>
    </xf>
    <xf numFmtId="0" fontId="10" fillId="6" borderId="51" xfId="0" applyFont="1" applyFill="1" applyBorder="1" applyAlignment="1">
      <alignment horizontal="center"/>
    </xf>
    <xf numFmtId="164" fontId="10" fillId="6" borderId="52" xfId="1" applyNumberFormat="1" applyFont="1" applyFill="1" applyBorder="1" applyAlignment="1">
      <alignment horizontal="center"/>
    </xf>
    <xf numFmtId="164" fontId="10" fillId="6" borderId="0" xfId="1" applyNumberFormat="1" applyFont="1" applyFill="1" applyBorder="1" applyAlignment="1">
      <alignment horizontal="center"/>
    </xf>
    <xf numFmtId="0" fontId="10" fillId="0" borderId="65" xfId="0" applyFont="1" applyFill="1" applyBorder="1"/>
    <xf numFmtId="164" fontId="0" fillId="0" borderId="20" xfId="1" applyNumberFormat="1" applyFont="1" applyFill="1" applyBorder="1"/>
    <xf numFmtId="2" fontId="0" fillId="0" borderId="0" xfId="0" applyNumberFormat="1" applyFill="1" applyBorder="1" applyAlignment="1">
      <alignment horizontal="center"/>
    </xf>
    <xf numFmtId="164" fontId="0" fillId="0" borderId="14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0" fillId="0" borderId="19" xfId="0" applyFill="1" applyBorder="1"/>
    <xf numFmtId="165" fontId="10" fillId="0" borderId="13" xfId="0" applyNumberFormat="1" applyFont="1" applyFill="1" applyBorder="1"/>
    <xf numFmtId="164" fontId="0" fillId="0" borderId="0" xfId="1" applyNumberFormat="1" applyFont="1" applyFill="1" applyBorder="1"/>
    <xf numFmtId="0" fontId="10" fillId="0" borderId="13" xfId="0" applyFont="1" applyFill="1" applyBorder="1"/>
    <xf numFmtId="0" fontId="10" fillId="0" borderId="15" xfId="0" applyFont="1" applyFill="1" applyBorder="1"/>
    <xf numFmtId="164" fontId="0" fillId="0" borderId="21" xfId="1" applyNumberFormat="1" applyFont="1" applyFill="1" applyBorder="1"/>
    <xf numFmtId="2" fontId="0" fillId="0" borderId="21" xfId="0" applyNumberFormat="1" applyFill="1" applyBorder="1" applyAlignment="1">
      <alignment horizontal="center"/>
    </xf>
    <xf numFmtId="164" fontId="0" fillId="0" borderId="17" xfId="1" applyNumberFormat="1" applyFont="1" applyFill="1" applyBorder="1" applyAlignment="1">
      <alignment horizontal="center"/>
    </xf>
    <xf numFmtId="164" fontId="0" fillId="0" borderId="14" xfId="1" applyNumberFormat="1" applyFont="1" applyFill="1" applyBorder="1"/>
    <xf numFmtId="164" fontId="18" fillId="0" borderId="0" xfId="1" applyNumberFormat="1" applyFont="1" applyFill="1" applyBorder="1" applyAlignment="1">
      <alignment horizontal="center"/>
    </xf>
    <xf numFmtId="0" fontId="12" fillId="0" borderId="53" xfId="0" applyFont="1" applyFill="1" applyBorder="1"/>
    <xf numFmtId="0" fontId="12" fillId="0" borderId="22" xfId="0" applyFont="1" applyFill="1" applyBorder="1"/>
    <xf numFmtId="2" fontId="12" fillId="0" borderId="22" xfId="0" applyNumberFormat="1" applyFont="1" applyFill="1" applyBorder="1" applyAlignment="1">
      <alignment horizontal="center"/>
    </xf>
    <xf numFmtId="164" fontId="12" fillId="0" borderId="54" xfId="1" applyNumberFormat="1" applyFont="1" applyFill="1" applyBorder="1"/>
    <xf numFmtId="0" fontId="10" fillId="0" borderId="13" xfId="0" applyFont="1" applyFill="1" applyBorder="1" applyAlignment="1">
      <alignment horizontal="center"/>
    </xf>
    <xf numFmtId="0" fontId="0" fillId="0" borderId="19" xfId="0" applyFont="1" applyFill="1" applyBorder="1" applyAlignment="1"/>
    <xf numFmtId="0" fontId="0" fillId="0" borderId="13" xfId="0" applyFill="1" applyBorder="1"/>
    <xf numFmtId="0" fontId="0" fillId="0" borderId="0" xfId="0" applyFill="1" applyBorder="1"/>
    <xf numFmtId="0" fontId="0" fillId="0" borderId="14" xfId="0" applyFill="1" applyBorder="1"/>
    <xf numFmtId="164" fontId="12" fillId="0" borderId="0" xfId="1" applyNumberFormat="1" applyFont="1" applyFill="1" applyBorder="1"/>
    <xf numFmtId="2" fontId="0" fillId="0" borderId="19" xfId="0" applyNumberFormat="1" applyFill="1" applyBorder="1" applyAlignment="1">
      <alignment horizontal="right" vertical="center"/>
    </xf>
    <xf numFmtId="0" fontId="0" fillId="6" borderId="86" xfId="0" applyFill="1" applyBorder="1" applyAlignment="1">
      <alignment wrapText="1"/>
    </xf>
    <xf numFmtId="0" fontId="18" fillId="0" borderId="13" xfId="0" applyFont="1" applyFill="1" applyBorder="1"/>
    <xf numFmtId="10" fontId="18" fillId="0" borderId="0" xfId="0" applyNumberFormat="1" applyFont="1" applyFill="1" applyBorder="1" applyAlignment="1">
      <alignment horizontal="center"/>
    </xf>
    <xf numFmtId="10" fontId="0" fillId="0" borderId="0" xfId="2" applyNumberFormat="1" applyFont="1" applyFill="1" applyBorder="1" applyAlignment="1">
      <alignment horizontal="center"/>
    </xf>
    <xf numFmtId="164" fontId="12" fillId="0" borderId="14" xfId="0" applyNumberFormat="1" applyFont="1" applyFill="1" applyBorder="1"/>
    <xf numFmtId="10" fontId="0" fillId="0" borderId="0" xfId="0" applyNumberFormat="1" applyFill="1" applyBorder="1" applyAlignment="1">
      <alignment horizontal="center"/>
    </xf>
    <xf numFmtId="164" fontId="0" fillId="0" borderId="14" xfId="0" applyNumberFormat="1" applyFill="1" applyBorder="1"/>
    <xf numFmtId="164" fontId="12" fillId="0" borderId="0" xfId="0" applyNumberFormat="1" applyFont="1" applyFill="1" applyBorder="1"/>
    <xf numFmtId="0" fontId="0" fillId="0" borderId="22" xfId="0" applyFill="1" applyBorder="1"/>
    <xf numFmtId="164" fontId="12" fillId="0" borderId="54" xfId="0" applyNumberFormat="1" applyFont="1" applyFill="1" applyBorder="1"/>
    <xf numFmtId="164" fontId="0" fillId="0" borderId="0" xfId="0" applyNumberFormat="1" applyFill="1" applyBorder="1"/>
    <xf numFmtId="2" fontId="0" fillId="0" borderId="19" xfId="0" applyNumberFormat="1" applyFill="1" applyBorder="1" applyAlignment="1">
      <alignment vertical="center"/>
    </xf>
    <xf numFmtId="164" fontId="18" fillId="0" borderId="14" xfId="0" applyNumberFormat="1" applyFont="1" applyFill="1" applyBorder="1"/>
    <xf numFmtId="0" fontId="19" fillId="0" borderId="19" xfId="0" applyFont="1" applyFill="1" applyBorder="1" applyAlignment="1"/>
    <xf numFmtId="164" fontId="18" fillId="0" borderId="0" xfId="0" applyNumberFormat="1" applyFont="1" applyFill="1" applyBorder="1" applyAlignment="1">
      <alignment horizontal="center"/>
    </xf>
    <xf numFmtId="164" fontId="18" fillId="0" borderId="14" xfId="1" applyNumberFormat="1" applyFont="1" applyFill="1" applyBorder="1"/>
    <xf numFmtId="164" fontId="18" fillId="0" borderId="0" xfId="0" applyNumberFormat="1" applyFont="1" applyFill="1" applyBorder="1"/>
    <xf numFmtId="164" fontId="18" fillId="0" borderId="0" xfId="1" applyNumberFormat="1" applyFont="1" applyFill="1" applyBorder="1"/>
    <xf numFmtId="44" fontId="18" fillId="0" borderId="0" xfId="0" applyNumberFormat="1" applyFont="1" applyFill="1" applyBorder="1" applyAlignment="1">
      <alignment horizontal="center"/>
    </xf>
    <xf numFmtId="164" fontId="0" fillId="0" borderId="54" xfId="0" applyNumberFormat="1" applyFill="1" applyBorder="1"/>
    <xf numFmtId="0" fontId="87" fillId="0" borderId="0" xfId="0" applyFont="1"/>
    <xf numFmtId="0" fontId="18" fillId="6" borderId="58" xfId="0" applyFont="1" applyFill="1" applyBorder="1"/>
    <xf numFmtId="164" fontId="0" fillId="6" borderId="59" xfId="0" applyNumberFormat="1" applyFill="1" applyBorder="1"/>
    <xf numFmtId="0" fontId="88" fillId="0" borderId="0" xfId="0" applyFont="1"/>
    <xf numFmtId="0" fontId="18" fillId="6" borderId="13" xfId="0" applyFont="1" applyFill="1" applyBorder="1"/>
    <xf numFmtId="164" fontId="0" fillId="6" borderId="14" xfId="0" applyNumberFormat="1" applyFont="1" applyFill="1" applyBorder="1"/>
    <xf numFmtId="10" fontId="0" fillId="6" borderId="0" xfId="2" applyNumberFormat="1" applyFont="1" applyFill="1" applyBorder="1" applyAlignment="1">
      <alignment horizontal="center"/>
    </xf>
    <xf numFmtId="0" fontId="0" fillId="0" borderId="18" xfId="0" applyBorder="1"/>
    <xf numFmtId="10" fontId="0" fillId="0" borderId="18" xfId="0" applyNumberFormat="1" applyBorder="1" applyAlignment="1">
      <alignment horizontal="center"/>
    </xf>
    <xf numFmtId="164" fontId="1" fillId="0" borderId="10" xfId="1" applyNumberFormat="1" applyFont="1" applyFill="1" applyBorder="1"/>
    <xf numFmtId="0" fontId="18" fillId="0" borderId="11" xfId="0" applyFont="1" applyBorder="1"/>
    <xf numFmtId="164" fontId="10" fillId="0" borderId="12" xfId="0" applyNumberFormat="1" applyFont="1" applyBorder="1"/>
    <xf numFmtId="10" fontId="0" fillId="0" borderId="9" xfId="0" applyNumberFormat="1" applyBorder="1"/>
    <xf numFmtId="164" fontId="10" fillId="0" borderId="12" xfId="1" applyNumberFormat="1" applyFont="1" applyBorder="1"/>
    <xf numFmtId="164" fontId="10" fillId="6" borderId="0" xfId="0" applyNumberFormat="1" applyFont="1" applyFill="1" applyBorder="1"/>
    <xf numFmtId="0" fontId="12" fillId="0" borderId="11" xfId="0" applyFont="1" applyBorder="1"/>
    <xf numFmtId="164" fontId="10" fillId="9" borderId="12" xfId="1" applyNumberFormat="1" applyFont="1" applyFill="1" applyBorder="1"/>
    <xf numFmtId="164" fontId="0" fillId="0" borderId="0" xfId="1" applyNumberFormat="1" applyFont="1"/>
    <xf numFmtId="10" fontId="0" fillId="0" borderId="0" xfId="2" applyNumberFormat="1" applyFont="1"/>
    <xf numFmtId="44" fontId="10" fillId="6" borderId="0" xfId="0" applyNumberFormat="1" applyFont="1" applyFill="1" applyBorder="1"/>
    <xf numFmtId="0" fontId="10" fillId="0" borderId="0" xfId="0" applyFont="1"/>
    <xf numFmtId="0" fontId="12" fillId="6" borderId="11" xfId="0" applyFont="1" applyFill="1" applyBorder="1" applyAlignment="1">
      <alignment horizontal="center"/>
    </xf>
    <xf numFmtId="0" fontId="12" fillId="6" borderId="12" xfId="0" applyFont="1" applyFill="1" applyBorder="1" applyAlignment="1">
      <alignment horizontal="center"/>
    </xf>
    <xf numFmtId="0" fontId="10" fillId="6" borderId="65" xfId="0" applyFont="1" applyFill="1" applyBorder="1"/>
    <xf numFmtId="164" fontId="0" fillId="6" borderId="14" xfId="1" applyNumberFormat="1" applyFont="1" applyFill="1" applyBorder="1" applyAlignment="1">
      <alignment horizontal="center"/>
    </xf>
    <xf numFmtId="0" fontId="86" fillId="6" borderId="0" xfId="0" applyFont="1" applyFill="1" applyBorder="1" applyAlignment="1">
      <alignment horizontal="center"/>
    </xf>
    <xf numFmtId="0" fontId="10" fillId="6" borderId="13" xfId="0" applyFont="1" applyFill="1" applyBorder="1"/>
    <xf numFmtId="0" fontId="10" fillId="6" borderId="15" xfId="0" applyFont="1" applyFill="1" applyBorder="1"/>
    <xf numFmtId="164" fontId="0" fillId="6" borderId="17" xfId="1" applyNumberFormat="1" applyFont="1" applyFill="1" applyBorder="1" applyAlignment="1">
      <alignment horizontal="center"/>
    </xf>
    <xf numFmtId="2" fontId="18" fillId="6" borderId="0" xfId="0" applyNumberFormat="1" applyFont="1" applyFill="1" applyBorder="1" applyAlignment="1">
      <alignment horizontal="center"/>
    </xf>
    <xf numFmtId="164" fontId="18" fillId="6" borderId="14" xfId="1" applyNumberFormat="1" applyFont="1" applyFill="1" applyBorder="1" applyAlignment="1">
      <alignment horizontal="center"/>
    </xf>
    <xf numFmtId="164" fontId="0" fillId="6" borderId="14" xfId="1" applyNumberFormat="1" applyFont="1" applyFill="1" applyBorder="1"/>
    <xf numFmtId="0" fontId="12" fillId="6" borderId="53" xfId="0" applyFont="1" applyFill="1" applyBorder="1"/>
    <xf numFmtId="164" fontId="12" fillId="6" borderId="54" xfId="1" applyNumberFormat="1" applyFont="1" applyFill="1" applyBorder="1"/>
    <xf numFmtId="10" fontId="18" fillId="6" borderId="0" xfId="0" applyNumberFormat="1" applyFont="1" applyFill="1" applyBorder="1" applyAlignment="1">
      <alignment horizontal="center"/>
    </xf>
    <xf numFmtId="164" fontId="12" fillId="6" borderId="14" xfId="0" applyNumberFormat="1" applyFont="1" applyFill="1" applyBorder="1"/>
    <xf numFmtId="164" fontId="0" fillId="6" borderId="14" xfId="0" applyNumberFormat="1" applyFill="1" applyBorder="1"/>
    <xf numFmtId="164" fontId="12" fillId="6" borderId="54" xfId="0" applyNumberFormat="1" applyFont="1" applyFill="1" applyBorder="1"/>
    <xf numFmtId="164" fontId="18" fillId="6" borderId="14" xfId="0" applyNumberFormat="1" applyFont="1" applyFill="1" applyBorder="1"/>
    <xf numFmtId="44" fontId="18" fillId="6" borderId="0" xfId="0" applyNumberFormat="1" applyFont="1" applyFill="1" applyBorder="1" applyAlignment="1">
      <alignment horizontal="center"/>
    </xf>
    <xf numFmtId="164" fontId="18" fillId="6" borderId="14" xfId="1" applyNumberFormat="1" applyFont="1" applyFill="1" applyBorder="1"/>
    <xf numFmtId="164" fontId="0" fillId="6" borderId="54" xfId="0" applyNumberFormat="1" applyFill="1" applyBorder="1"/>
    <xf numFmtId="0" fontId="12" fillId="6" borderId="65" xfId="0" applyFont="1" applyFill="1" applyBorder="1"/>
    <xf numFmtId="0" fontId="0" fillId="6" borderId="20" xfId="0" applyFill="1" applyBorder="1"/>
    <xf numFmtId="164" fontId="0" fillId="6" borderId="78" xfId="0" applyNumberFormat="1" applyFill="1" applyBorder="1"/>
    <xf numFmtId="0" fontId="18" fillId="6" borderId="65" xfId="0" applyFont="1" applyFill="1" applyBorder="1"/>
    <xf numFmtId="10" fontId="18" fillId="6" borderId="20" xfId="0" applyNumberFormat="1" applyFont="1" applyFill="1" applyBorder="1" applyAlignment="1">
      <alignment horizontal="center"/>
    </xf>
    <xf numFmtId="0" fontId="12" fillId="6" borderId="13" xfId="0" applyFont="1" applyFill="1" applyBorder="1"/>
    <xf numFmtId="164" fontId="10" fillId="6" borderId="14" xfId="0" applyNumberFormat="1" applyFont="1" applyFill="1" applyBorder="1"/>
    <xf numFmtId="10" fontId="0" fillId="6" borderId="49" xfId="2" applyNumberFormat="1" applyFont="1" applyFill="1" applyBorder="1"/>
    <xf numFmtId="10" fontId="0" fillId="6" borderId="44" xfId="2" applyNumberFormat="1" applyFont="1" applyFill="1" applyBorder="1"/>
    <xf numFmtId="10" fontId="0" fillId="6" borderId="44" xfId="2" applyNumberFormat="1" applyFont="1" applyFill="1" applyBorder="1" applyAlignment="1">
      <alignment horizontal="center"/>
    </xf>
    <xf numFmtId="0" fontId="10" fillId="6" borderId="11" xfId="0" applyFont="1" applyFill="1" applyBorder="1"/>
    <xf numFmtId="0" fontId="10" fillId="6" borderId="9" xfId="0" applyFont="1" applyFill="1" applyBorder="1"/>
    <xf numFmtId="164" fontId="10" fillId="6" borderId="12" xfId="0" applyNumberFormat="1" applyFont="1" applyFill="1" applyBorder="1"/>
    <xf numFmtId="0" fontId="89" fillId="0" borderId="18" xfId="0" applyFont="1" applyBorder="1" applyAlignment="1">
      <alignment horizontal="left" vertical="top" wrapText="1"/>
    </xf>
    <xf numFmtId="164" fontId="10" fillId="6" borderId="18" xfId="0" applyNumberFormat="1" applyFont="1" applyFill="1" applyBorder="1" applyAlignment="1"/>
    <xf numFmtId="0" fontId="89" fillId="0" borderId="0" xfId="0" applyFont="1" applyAlignment="1">
      <alignment horizontal="left" vertical="top" wrapText="1"/>
    </xf>
    <xf numFmtId="164" fontId="10" fillId="6" borderId="0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left" vertical="top" wrapText="1"/>
    </xf>
    <xf numFmtId="0" fontId="8" fillId="0" borderId="0" xfId="0" applyFont="1"/>
    <xf numFmtId="0" fontId="67" fillId="6" borderId="0" xfId="0" applyFont="1" applyFill="1" applyBorder="1"/>
    <xf numFmtId="10" fontId="10" fillId="6" borderId="0" xfId="0" applyNumberFormat="1" applyFont="1" applyFill="1" applyBorder="1"/>
    <xf numFmtId="10" fontId="68" fillId="6" borderId="0" xfId="0" applyNumberFormat="1" applyFont="1" applyFill="1" applyBorder="1"/>
    <xf numFmtId="3" fontId="66" fillId="0" borderId="0" xfId="0" applyNumberFormat="1" applyFont="1" applyAlignment="1">
      <alignment horizontal="left"/>
    </xf>
    <xf numFmtId="0" fontId="68" fillId="6" borderId="0" xfId="0" applyFont="1" applyFill="1" applyBorder="1"/>
    <xf numFmtId="0" fontId="0" fillId="0" borderId="0" xfId="0" applyBorder="1"/>
    <xf numFmtId="10" fontId="66" fillId="0" borderId="0" xfId="0" applyNumberFormat="1" applyFont="1" applyBorder="1" applyAlignment="1">
      <alignment horizontal="left"/>
    </xf>
    <xf numFmtId="5" fontId="81" fillId="0" borderId="0" xfId="0" applyNumberFormat="1" applyFont="1" applyFill="1" applyBorder="1" applyAlignment="1">
      <alignment horizontal="left"/>
    </xf>
    <xf numFmtId="0" fontId="81" fillId="6" borderId="0" xfId="0" applyFont="1" applyFill="1" applyBorder="1"/>
    <xf numFmtId="0" fontId="81" fillId="0" borderId="13" xfId="0" applyFont="1" applyFill="1" applyBorder="1"/>
    <xf numFmtId="5" fontId="81" fillId="0" borderId="14" xfId="0" applyNumberFormat="1" applyFont="1" applyFill="1" applyBorder="1" applyAlignment="1">
      <alignment horizontal="left"/>
    </xf>
    <xf numFmtId="5" fontId="66" fillId="0" borderId="0" xfId="0" applyNumberFormat="1" applyFont="1" applyAlignment="1">
      <alignment horizontal="left"/>
    </xf>
    <xf numFmtId="0" fontId="81" fillId="0" borderId="0" xfId="0" applyFont="1" applyFill="1" applyBorder="1"/>
    <xf numFmtId="5" fontId="81" fillId="0" borderId="14" xfId="1" applyNumberFormat="1" applyFont="1" applyFill="1" applyBorder="1" applyAlignment="1">
      <alignment horizontal="left"/>
    </xf>
    <xf numFmtId="5" fontId="81" fillId="0" borderId="0" xfId="1" applyNumberFormat="1" applyFont="1" applyFill="1" applyBorder="1" applyAlignment="1">
      <alignment horizontal="left"/>
    </xf>
    <xf numFmtId="10" fontId="88" fillId="0" borderId="49" xfId="0" applyNumberFormat="1" applyFont="1" applyBorder="1"/>
    <xf numFmtId="10" fontId="0" fillId="0" borderId="0" xfId="0" applyNumberFormat="1"/>
    <xf numFmtId="10" fontId="88" fillId="0" borderId="0" xfId="0" applyNumberFormat="1" applyFont="1" applyBorder="1"/>
    <xf numFmtId="0" fontId="0" fillId="0" borderId="8" xfId="0" applyFill="1" applyBorder="1"/>
    <xf numFmtId="0" fontId="10" fillId="0" borderId="18" xfId="0" applyFont="1" applyFill="1" applyBorder="1" applyAlignment="1">
      <alignment horizontal="center"/>
    </xf>
    <xf numFmtId="164" fontId="10" fillId="0" borderId="10" xfId="1" applyNumberFormat="1" applyFont="1" applyFill="1" applyBorder="1" applyAlignment="1">
      <alignment horizontal="center"/>
    </xf>
    <xf numFmtId="2" fontId="0" fillId="0" borderId="20" xfId="0" applyNumberFormat="1" applyFill="1" applyBorder="1" applyAlignment="1">
      <alignment horizontal="center"/>
    </xf>
    <xf numFmtId="164" fontId="0" fillId="0" borderId="78" xfId="1" applyNumberFormat="1" applyFont="1" applyFill="1" applyBorder="1" applyAlignment="1">
      <alignment horizontal="center"/>
    </xf>
    <xf numFmtId="164" fontId="0" fillId="6" borderId="0" xfId="1" applyNumberFormat="1" applyFont="1" applyFill="1" applyBorder="1" applyAlignment="1">
      <alignment horizontal="center"/>
    </xf>
    <xf numFmtId="165" fontId="10" fillId="6" borderId="13" xfId="0" applyNumberFormat="1" applyFont="1" applyFill="1" applyBorder="1"/>
    <xf numFmtId="164" fontId="18" fillId="6" borderId="0" xfId="1" applyNumberFormat="1" applyFont="1" applyFill="1" applyBorder="1" applyAlignment="1">
      <alignment horizontal="center"/>
    </xf>
    <xf numFmtId="164" fontId="12" fillId="6" borderId="0" xfId="1" applyNumberFormat="1" applyFont="1" applyFill="1" applyBorder="1"/>
    <xf numFmtId="0" fontId="18" fillId="0" borderId="58" xfId="0" applyFont="1" applyFill="1" applyBorder="1"/>
    <xf numFmtId="10" fontId="18" fillId="0" borderId="26" xfId="0" applyNumberFormat="1" applyFont="1" applyFill="1" applyBorder="1" applyAlignment="1">
      <alignment horizontal="center"/>
    </xf>
    <xf numFmtId="164" fontId="0" fillId="0" borderId="59" xfId="0" applyNumberFormat="1" applyFill="1" applyBorder="1"/>
    <xf numFmtId="0" fontId="18" fillId="0" borderId="62" xfId="0" applyFont="1" applyFill="1" applyBorder="1"/>
    <xf numFmtId="10" fontId="18" fillId="0" borderId="63" xfId="0" applyNumberFormat="1" applyFont="1" applyFill="1" applyBorder="1" applyAlignment="1">
      <alignment horizontal="center"/>
    </xf>
    <xf numFmtId="164" fontId="0" fillId="0" borderId="64" xfId="0" applyNumberFormat="1" applyFill="1" applyBorder="1"/>
    <xf numFmtId="0" fontId="18" fillId="6" borderId="62" xfId="0" applyFont="1" applyFill="1" applyBorder="1"/>
    <xf numFmtId="0" fontId="0" fillId="0" borderId="11" xfId="0" applyFill="1" applyBorder="1"/>
    <xf numFmtId="10" fontId="0" fillId="0" borderId="49" xfId="2" applyNumberFormat="1" applyFont="1" applyFill="1" applyBorder="1"/>
    <xf numFmtId="10" fontId="0" fillId="0" borderId="44" xfId="2" applyNumberFormat="1" applyFont="1" applyFill="1" applyBorder="1"/>
    <xf numFmtId="10" fontId="0" fillId="0" borderId="44" xfId="2" applyNumberFormat="1" applyFont="1" applyFill="1" applyBorder="1" applyAlignment="1">
      <alignment horizontal="center"/>
    </xf>
    <xf numFmtId="164" fontId="10" fillId="0" borderId="25" xfId="1" applyNumberFormat="1" applyFont="1" applyFill="1" applyBorder="1"/>
    <xf numFmtId="164" fontId="10" fillId="6" borderId="25" xfId="1" applyNumberFormat="1" applyFont="1" applyFill="1" applyBorder="1"/>
    <xf numFmtId="0" fontId="18" fillId="6" borderId="11" xfId="0" applyFont="1" applyFill="1" applyBorder="1"/>
    <xf numFmtId="10" fontId="0" fillId="0" borderId="9" xfId="0" applyNumberFormat="1" applyBorder="1" applyAlignment="1">
      <alignment horizontal="center"/>
    </xf>
    <xf numFmtId="164" fontId="10" fillId="0" borderId="12" xfId="1" applyNumberFormat="1" applyFont="1" applyFill="1" applyBorder="1"/>
    <xf numFmtId="0" fontId="12" fillId="6" borderId="11" xfId="0" applyFont="1" applyFill="1" applyBorder="1"/>
    <xf numFmtId="164" fontId="10" fillId="9" borderId="12" xfId="0" applyNumberFormat="1" applyFont="1" applyFill="1" applyBorder="1"/>
    <xf numFmtId="44" fontId="0" fillId="0" borderId="0" xfId="0" applyNumberFormat="1"/>
    <xf numFmtId="0" fontId="15" fillId="0" borderId="0" xfId="0" applyFont="1" applyBorder="1" applyAlignment="1">
      <alignment horizontal="left"/>
    </xf>
    <xf numFmtId="0" fontId="16" fillId="0" borderId="0" xfId="0" applyFont="1" applyBorder="1"/>
    <xf numFmtId="0" fontId="17" fillId="39" borderId="11" xfId="0" applyFont="1" applyFill="1" applyBorder="1" applyAlignment="1">
      <alignment horizontal="center"/>
    </xf>
    <xf numFmtId="0" fontId="17" fillId="39" borderId="9" xfId="0" applyFont="1" applyFill="1" applyBorder="1" applyAlignment="1">
      <alignment horizontal="center" wrapText="1"/>
    </xf>
    <xf numFmtId="0" fontId="17" fillId="39" borderId="9" xfId="0" applyFont="1" applyFill="1" applyBorder="1" applyAlignment="1">
      <alignment horizontal="center"/>
    </xf>
    <xf numFmtId="0" fontId="17" fillId="39" borderId="12" xfId="0" applyFont="1" applyFill="1" applyBorder="1" applyAlignment="1">
      <alignment horizontal="center"/>
    </xf>
    <xf numFmtId="0" fontId="16" fillId="0" borderId="8" xfId="0" applyFont="1" applyBorder="1" applyAlignment="1">
      <alignment horizontal="right"/>
    </xf>
    <xf numFmtId="168" fontId="16" fillId="0" borderId="18" xfId="0" applyNumberFormat="1" applyFont="1" applyFill="1" applyBorder="1" applyAlignment="1">
      <alignment horizontal="center"/>
    </xf>
    <xf numFmtId="0" fontId="16" fillId="0" borderId="18" xfId="0" applyFont="1" applyFill="1" applyBorder="1" applyAlignment="1"/>
    <xf numFmtId="0" fontId="16" fillId="0" borderId="10" xfId="0" applyFont="1" applyFill="1" applyBorder="1" applyAlignment="1"/>
    <xf numFmtId="0" fontId="16" fillId="0" borderId="13" xfId="0" applyFont="1" applyBorder="1" applyAlignment="1">
      <alignment horizontal="right"/>
    </xf>
    <xf numFmtId="10" fontId="0" fillId="0" borderId="0" xfId="0" applyNumberFormat="1" applyFont="1" applyBorder="1" applyAlignment="1">
      <alignment horizontal="center"/>
    </xf>
    <xf numFmtId="0" fontId="16" fillId="0" borderId="0" xfId="0" applyFont="1" applyFill="1" applyBorder="1" applyAlignment="1"/>
    <xf numFmtId="0" fontId="16" fillId="0" borderId="14" xfId="0" applyFont="1" applyFill="1" applyBorder="1" applyAlignment="1"/>
    <xf numFmtId="168" fontId="0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right"/>
    </xf>
    <xf numFmtId="5" fontId="1" fillId="0" borderId="0" xfId="70" applyNumberFormat="1" applyFont="1" applyFill="1" applyBorder="1" applyAlignment="1">
      <alignment horizontal="center"/>
    </xf>
    <xf numFmtId="10" fontId="16" fillId="0" borderId="0" xfId="0" applyNumberFormat="1" applyFont="1" applyFill="1" applyBorder="1" applyAlignment="1">
      <alignment horizontal="left"/>
    </xf>
    <xf numFmtId="10" fontId="16" fillId="0" borderId="14" xfId="0" applyNumberFormat="1" applyFont="1" applyFill="1" applyBorder="1" applyAlignment="1">
      <alignment horizontal="left"/>
    </xf>
    <xf numFmtId="0" fontId="16" fillId="0" borderId="0" xfId="0" applyFont="1" applyFill="1" applyBorder="1" applyAlignment="1"/>
    <xf numFmtId="0" fontId="16" fillId="0" borderId="14" xfId="0" applyFont="1" applyFill="1" applyBorder="1" applyAlignment="1"/>
    <xf numFmtId="168" fontId="0" fillId="0" borderId="67" xfId="0" applyNumberFormat="1" applyFont="1" applyFill="1" applyBorder="1" applyAlignment="1">
      <alignment horizontal="center"/>
    </xf>
    <xf numFmtId="10" fontId="11" fillId="0" borderId="0" xfId="0" applyNumberFormat="1" applyFont="1" applyFill="1" applyBorder="1" applyAlignment="1">
      <alignment horizontal="left"/>
    </xf>
    <xf numFmtId="10" fontId="11" fillId="0" borderId="14" xfId="0" applyNumberFormat="1" applyFont="1" applyFill="1" applyBorder="1" applyAlignment="1">
      <alignment horizontal="left"/>
    </xf>
    <xf numFmtId="0" fontId="17" fillId="0" borderId="49" xfId="0" applyFont="1" applyFill="1" applyBorder="1" applyAlignment="1">
      <alignment horizontal="right"/>
    </xf>
    <xf numFmtId="168" fontId="17" fillId="9" borderId="44" xfId="0" applyNumberFormat="1" applyFont="1" applyFill="1" applyBorder="1" applyAlignment="1">
      <alignment horizontal="center"/>
    </xf>
    <xf numFmtId="10" fontId="16" fillId="0" borderId="44" xfId="0" applyNumberFormat="1" applyFont="1" applyFill="1" applyBorder="1" applyAlignment="1"/>
    <xf numFmtId="10" fontId="16" fillId="0" borderId="25" xfId="0" applyNumberFormat="1" applyFont="1" applyFill="1" applyBorder="1" applyAlignment="1"/>
    <xf numFmtId="10" fontId="16" fillId="0" borderId="0" xfId="0" applyNumberFormat="1" applyFont="1" applyFill="1" applyBorder="1" applyAlignment="1"/>
    <xf numFmtId="10" fontId="16" fillId="0" borderId="14" xfId="0" applyNumberFormat="1" applyFont="1" applyFill="1" applyBorder="1" applyAlignment="1"/>
    <xf numFmtId="0" fontId="16" fillId="6" borderId="10" xfId="0" applyFont="1" applyFill="1" applyBorder="1"/>
    <xf numFmtId="0" fontId="20" fillId="8" borderId="11" xfId="0" applyFont="1" applyFill="1" applyBorder="1" applyAlignment="1">
      <alignment horizontal="center"/>
    </xf>
    <xf numFmtId="0" fontId="20" fillId="8" borderId="9" xfId="0" applyFont="1" applyFill="1" applyBorder="1" applyAlignment="1">
      <alignment horizontal="center"/>
    </xf>
    <xf numFmtId="0" fontId="20" fillId="8" borderId="12" xfId="0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/>
    </xf>
    <xf numFmtId="0" fontId="17" fillId="6" borderId="20" xfId="0" applyFont="1" applyFill="1" applyBorder="1"/>
    <xf numFmtId="2" fontId="16" fillId="6" borderId="20" xfId="0" applyNumberFormat="1" applyFont="1" applyFill="1" applyBorder="1" applyAlignment="1">
      <alignment horizontal="center"/>
    </xf>
    <xf numFmtId="44" fontId="16" fillId="5" borderId="0" xfId="0" applyNumberFormat="1" applyFont="1" applyFill="1"/>
    <xf numFmtId="0" fontId="17" fillId="6" borderId="0" xfId="0" applyFont="1" applyFill="1" applyBorder="1"/>
    <xf numFmtId="164" fontId="16" fillId="6" borderId="0" xfId="1" applyNumberFormat="1" applyFont="1" applyFill="1" applyBorder="1"/>
    <xf numFmtId="165" fontId="17" fillId="6" borderId="0" xfId="0" applyNumberFormat="1" applyFont="1" applyFill="1" applyBorder="1"/>
    <xf numFmtId="0" fontId="17" fillId="6" borderId="21" xfId="0" applyFont="1" applyFill="1" applyBorder="1"/>
    <xf numFmtId="164" fontId="16" fillId="6" borderId="21" xfId="1" applyNumberFormat="1" applyFont="1" applyFill="1" applyBorder="1"/>
    <xf numFmtId="2" fontId="16" fillId="6" borderId="21" xfId="0" applyNumberFormat="1" applyFont="1" applyFill="1" applyBorder="1" applyAlignment="1">
      <alignment horizontal="center"/>
    </xf>
    <xf numFmtId="0" fontId="17" fillId="6" borderId="13" xfId="0" applyFont="1" applyFill="1" applyBorder="1" applyAlignment="1">
      <alignment horizontal="center"/>
    </xf>
    <xf numFmtId="0" fontId="16" fillId="6" borderId="19" xfId="0" applyFont="1" applyFill="1" applyBorder="1" applyAlignment="1"/>
    <xf numFmtId="0" fontId="20" fillId="6" borderId="22" xfId="0" applyFont="1" applyFill="1" applyBorder="1"/>
    <xf numFmtId="2" fontId="20" fillId="6" borderId="22" xfId="0" applyNumberFormat="1" applyFont="1" applyFill="1" applyBorder="1" applyAlignment="1">
      <alignment horizontal="center"/>
    </xf>
    <xf numFmtId="164" fontId="20" fillId="6" borderId="22" xfId="1" applyNumberFormat="1" applyFont="1" applyFill="1" applyBorder="1"/>
    <xf numFmtId="2" fontId="16" fillId="6" borderId="19" xfId="0" applyNumberFormat="1" applyFont="1" applyFill="1" applyBorder="1"/>
    <xf numFmtId="0" fontId="83" fillId="6" borderId="0" xfId="0" applyFont="1" applyFill="1" applyBorder="1"/>
    <xf numFmtId="10" fontId="83" fillId="6" borderId="0" xfId="0" applyNumberFormat="1" applyFont="1" applyFill="1" applyBorder="1" applyAlignment="1">
      <alignment vertical="center"/>
    </xf>
    <xf numFmtId="164" fontId="20" fillId="6" borderId="0" xfId="0" applyNumberFormat="1" applyFont="1" applyFill="1" applyBorder="1"/>
    <xf numFmtId="10" fontId="16" fillId="6" borderId="0" xfId="0" applyNumberFormat="1" applyFont="1" applyFill="1" applyBorder="1" applyAlignment="1">
      <alignment vertical="center"/>
    </xf>
    <xf numFmtId="164" fontId="20" fillId="6" borderId="22" xfId="0" applyNumberFormat="1" applyFont="1" applyFill="1" applyBorder="1"/>
    <xf numFmtId="0" fontId="84" fillId="6" borderId="19" xfId="0" applyFont="1" applyFill="1" applyBorder="1" applyAlignment="1"/>
    <xf numFmtId="164" fontId="83" fillId="6" borderId="0" xfId="0" applyNumberFormat="1" applyFont="1" applyFill="1" applyBorder="1" applyAlignment="1">
      <alignment horizontal="center"/>
    </xf>
    <xf numFmtId="164" fontId="83" fillId="6" borderId="0" xfId="1" applyNumberFormat="1" applyFont="1" applyFill="1" applyBorder="1"/>
    <xf numFmtId="0" fontId="16" fillId="6" borderId="13" xfId="0" applyFont="1" applyFill="1" applyBorder="1" applyAlignment="1">
      <alignment horizontal="left"/>
    </xf>
    <xf numFmtId="164" fontId="16" fillId="6" borderId="19" xfId="1" applyNumberFormat="1" applyFont="1" applyFill="1" applyBorder="1" applyAlignment="1">
      <alignment horizontal="left"/>
    </xf>
    <xf numFmtId="0" fontId="16" fillId="6" borderId="23" xfId="0" applyFont="1" applyFill="1" applyBorder="1"/>
    <xf numFmtId="164" fontId="16" fillId="6" borderId="22" xfId="0" applyNumberFormat="1" applyFont="1" applyFill="1" applyBorder="1"/>
    <xf numFmtId="10" fontId="16" fillId="0" borderId="24" xfId="0" applyNumberFormat="1" applyFont="1" applyBorder="1" applyAlignment="1">
      <alignment horizontal="right"/>
    </xf>
    <xf numFmtId="0" fontId="16" fillId="6" borderId="25" xfId="0" applyFont="1" applyFill="1" applyBorder="1"/>
    <xf numFmtId="0" fontId="83" fillId="6" borderId="26" xfId="0" applyFont="1" applyFill="1" applyBorder="1"/>
    <xf numFmtId="164" fontId="16" fillId="6" borderId="26" xfId="0" applyNumberFormat="1" applyFont="1" applyFill="1" applyBorder="1"/>
    <xf numFmtId="0" fontId="16" fillId="0" borderId="9" xfId="0" applyFont="1" applyFill="1" applyBorder="1"/>
    <xf numFmtId="10" fontId="16" fillId="0" borderId="24" xfId="2" applyNumberFormat="1" applyFont="1" applyFill="1" applyBorder="1"/>
    <xf numFmtId="164" fontId="83" fillId="6" borderId="0" xfId="0" applyNumberFormat="1" applyFont="1" applyFill="1" applyBorder="1"/>
    <xf numFmtId="0" fontId="16" fillId="6" borderId="27" xfId="0" applyFont="1" applyFill="1" applyBorder="1"/>
    <xf numFmtId="0" fontId="83" fillId="6" borderId="20" xfId="0" applyFont="1" applyFill="1" applyBorder="1"/>
    <xf numFmtId="0" fontId="16" fillId="6" borderId="20" xfId="0" applyFont="1" applyFill="1" applyBorder="1"/>
    <xf numFmtId="10" fontId="16" fillId="6" borderId="20" xfId="0" applyNumberFormat="1" applyFont="1" applyFill="1" applyBorder="1" applyAlignment="1">
      <alignment horizontal="center"/>
    </xf>
    <xf numFmtId="164" fontId="16" fillId="0" borderId="20" xfId="0" applyNumberFormat="1" applyFont="1" applyFill="1" applyBorder="1"/>
    <xf numFmtId="0" fontId="16" fillId="6" borderId="28" xfId="0" applyFont="1" applyFill="1" applyBorder="1"/>
    <xf numFmtId="0" fontId="83" fillId="6" borderId="9" xfId="0" applyFont="1" applyFill="1" applyBorder="1"/>
    <xf numFmtId="0" fontId="16" fillId="6" borderId="9" xfId="0" applyFont="1" applyFill="1" applyBorder="1"/>
    <xf numFmtId="10" fontId="16" fillId="6" borderId="9" xfId="0" applyNumberFormat="1" applyFont="1" applyFill="1" applyBorder="1"/>
    <xf numFmtId="164" fontId="16" fillId="0" borderId="9" xfId="0" applyNumberFormat="1" applyFont="1" applyFill="1" applyBorder="1"/>
    <xf numFmtId="0" fontId="16" fillId="6" borderId="12" xfId="0" applyFont="1" applyFill="1" applyBorder="1"/>
    <xf numFmtId="0" fontId="20" fillId="6" borderId="9" xfId="0" applyFont="1" applyFill="1" applyBorder="1"/>
    <xf numFmtId="164" fontId="17" fillId="9" borderId="9" xfId="0" applyNumberFormat="1" applyFont="1" applyFill="1" applyBorder="1"/>
    <xf numFmtId="0" fontId="16" fillId="6" borderId="29" xfId="0" applyFont="1" applyFill="1" applyBorder="1"/>
    <xf numFmtId="0" fontId="83" fillId="6" borderId="22" xfId="0" applyFont="1" applyFill="1" applyBorder="1"/>
    <xf numFmtId="10" fontId="16" fillId="6" borderId="22" xfId="0" applyNumberFormat="1" applyFont="1" applyFill="1" applyBorder="1" applyAlignment="1">
      <alignment horizontal="center"/>
    </xf>
    <xf numFmtId="0" fontId="16" fillId="6" borderId="30" xfId="0" applyFont="1" applyFill="1" applyBorder="1"/>
    <xf numFmtId="0" fontId="84" fillId="6" borderId="19" xfId="0" applyFont="1" applyFill="1" applyBorder="1" applyAlignment="1">
      <alignment horizontal="center"/>
    </xf>
    <xf numFmtId="164" fontId="16" fillId="0" borderId="19" xfId="1" applyNumberFormat="1" applyFont="1" applyFill="1" applyBorder="1" applyAlignment="1">
      <alignment horizontal="left"/>
    </xf>
    <xf numFmtId="0" fontId="60" fillId="0" borderId="0" xfId="0" applyFont="1"/>
    <xf numFmtId="165" fontId="59" fillId="0" borderId="8" xfId="226" applyNumberFormat="1" applyFont="1" applyBorder="1" applyAlignment="1">
      <alignment horizontal="center"/>
    </xf>
    <xf numFmtId="165" fontId="59" fillId="0" borderId="18" xfId="226" applyNumberFormat="1" applyFont="1" applyBorder="1" applyAlignment="1">
      <alignment horizontal="center"/>
    </xf>
    <xf numFmtId="0" fontId="59" fillId="6" borderId="10" xfId="226" applyFont="1" applyFill="1" applyBorder="1" applyAlignment="1">
      <alignment horizontal="center"/>
    </xf>
    <xf numFmtId="0" fontId="59" fillId="0" borderId="50" xfId="202" applyFont="1" applyBorder="1"/>
    <xf numFmtId="0" fontId="59" fillId="0" borderId="51" xfId="202" applyFont="1" applyBorder="1" applyAlignment="1">
      <alignment horizontal="right"/>
    </xf>
    <xf numFmtId="3" fontId="59" fillId="0" borderId="52" xfId="202" applyNumberFormat="1" applyFont="1" applyBorder="1" applyAlignment="1">
      <alignment horizontal="center"/>
    </xf>
    <xf numFmtId="0" fontId="90" fillId="6" borderId="14" xfId="0" applyFont="1" applyFill="1" applyBorder="1"/>
    <xf numFmtId="0" fontId="59" fillId="0" borderId="15" xfId="202" applyFont="1" applyBorder="1"/>
    <xf numFmtId="0" fontId="59" fillId="0" borderId="21" xfId="202" applyFont="1" applyBorder="1" applyAlignment="1">
      <alignment horizontal="center"/>
    </xf>
    <xf numFmtId="0" fontId="59" fillId="0" borderId="17" xfId="202" applyFont="1" applyBorder="1" applyAlignment="1">
      <alignment horizontal="center"/>
    </xf>
    <xf numFmtId="42" fontId="60" fillId="0" borderId="14" xfId="202" applyNumberFormat="1" applyFont="1" applyBorder="1"/>
    <xf numFmtId="0" fontId="60" fillId="6" borderId="10" xfId="226" applyFont="1" applyFill="1" applyBorder="1" applyAlignment="1">
      <alignment horizontal="left"/>
    </xf>
    <xf numFmtId="42" fontId="60" fillId="0" borderId="17" xfId="202" applyNumberFormat="1" applyFont="1" applyBorder="1"/>
    <xf numFmtId="0" fontId="60" fillId="6" borderId="14" xfId="226" applyFont="1" applyFill="1" applyBorder="1" applyAlignment="1">
      <alignment horizontal="left"/>
    </xf>
    <xf numFmtId="0" fontId="91" fillId="6" borderId="53" xfId="0" applyFont="1" applyFill="1" applyBorder="1"/>
    <xf numFmtId="42" fontId="59" fillId="0" borderId="54" xfId="202" applyNumberFormat="1" applyFont="1" applyBorder="1"/>
    <xf numFmtId="0" fontId="60" fillId="6" borderId="25" xfId="226" applyFont="1" applyFill="1" applyBorder="1" applyAlignment="1">
      <alignment horizontal="left"/>
    </xf>
    <xf numFmtId="42" fontId="59" fillId="0" borderId="14" xfId="202" applyNumberFormat="1" applyFont="1" applyBorder="1"/>
    <xf numFmtId="0" fontId="61" fillId="0" borderId="13" xfId="202" applyFont="1" applyBorder="1"/>
    <xf numFmtId="0" fontId="90" fillId="6" borderId="12" xfId="0" applyFont="1" applyFill="1" applyBorder="1"/>
    <xf numFmtId="0" fontId="90" fillId="6" borderId="13" xfId="0" applyFont="1" applyFill="1" applyBorder="1"/>
    <xf numFmtId="10" fontId="60" fillId="0" borderId="0" xfId="0" applyNumberFormat="1" applyFont="1" applyBorder="1"/>
    <xf numFmtId="0" fontId="60" fillId="0" borderId="0" xfId="0" applyFont="1" applyBorder="1"/>
    <xf numFmtId="164" fontId="60" fillId="0" borderId="14" xfId="0" applyNumberFormat="1" applyFont="1" applyBorder="1"/>
    <xf numFmtId="44" fontId="59" fillId="0" borderId="22" xfId="202" applyNumberFormat="1" applyFont="1" applyBorder="1"/>
    <xf numFmtId="0" fontId="60" fillId="0" borderId="13" xfId="0" applyFont="1" applyBorder="1"/>
    <xf numFmtId="0" fontId="59" fillId="0" borderId="13" xfId="202" applyFont="1" applyBorder="1"/>
    <xf numFmtId="44" fontId="59" fillId="0" borderId="0" xfId="202" applyNumberFormat="1" applyFont="1" applyBorder="1"/>
    <xf numFmtId="0" fontId="61" fillId="0" borderId="13" xfId="0" applyFont="1" applyBorder="1"/>
    <xf numFmtId="0" fontId="92" fillId="0" borderId="0" xfId="202" applyFont="1" applyBorder="1"/>
    <xf numFmtId="164" fontId="60" fillId="0" borderId="0" xfId="202" applyNumberFormat="1" applyFont="1" applyBorder="1"/>
    <xf numFmtId="0" fontId="60" fillId="0" borderId="53" xfId="0" applyFont="1" applyBorder="1"/>
    <xf numFmtId="10" fontId="59" fillId="0" borderId="22" xfId="0" applyNumberFormat="1" applyFont="1" applyBorder="1"/>
    <xf numFmtId="0" fontId="90" fillId="6" borderId="54" xfId="0" applyFont="1" applyFill="1" applyBorder="1"/>
    <xf numFmtId="164" fontId="61" fillId="0" borderId="0" xfId="202" applyNumberFormat="1" applyFont="1" applyBorder="1"/>
    <xf numFmtId="0" fontId="90" fillId="0" borderId="11" xfId="0" applyFont="1" applyBorder="1"/>
    <xf numFmtId="10" fontId="60" fillId="0" borderId="56" xfId="2" applyNumberFormat="1" applyFont="1" applyBorder="1"/>
    <xf numFmtId="0" fontId="60" fillId="0" borderId="57" xfId="0" applyFont="1" applyBorder="1"/>
    <xf numFmtId="0" fontId="61" fillId="0" borderId="58" xfId="202" applyFont="1" applyBorder="1"/>
    <xf numFmtId="0" fontId="61" fillId="0" borderId="26" xfId="202" applyFont="1" applyBorder="1"/>
    <xf numFmtId="42" fontId="60" fillId="0" borderId="59" xfId="202" applyNumberFormat="1" applyFont="1" applyBorder="1"/>
    <xf numFmtId="0" fontId="60" fillId="0" borderId="60" xfId="0" applyFont="1" applyBorder="1"/>
    <xf numFmtId="10" fontId="60" fillId="0" borderId="61" xfId="2" applyNumberFormat="1" applyFont="1" applyBorder="1"/>
    <xf numFmtId="0" fontId="60" fillId="0" borderId="23" xfId="0" applyFont="1" applyBorder="1"/>
    <xf numFmtId="0" fontId="60" fillId="0" borderId="62" xfId="202" applyFont="1" applyBorder="1"/>
    <xf numFmtId="10" fontId="60" fillId="0" borderId="63" xfId="202" applyNumberFormat="1" applyFont="1" applyBorder="1"/>
    <xf numFmtId="0" fontId="60" fillId="0" borderId="63" xfId="202" applyFont="1" applyBorder="1"/>
    <xf numFmtId="42" fontId="60" fillId="0" borderId="64" xfId="202" applyNumberFormat="1" applyFont="1" applyBorder="1"/>
    <xf numFmtId="0" fontId="61" fillId="0" borderId="62" xfId="202" applyFont="1" applyBorder="1"/>
    <xf numFmtId="10" fontId="61" fillId="0" borderId="63" xfId="202" applyNumberFormat="1" applyFont="1" applyBorder="1"/>
    <xf numFmtId="0" fontId="61" fillId="0" borderId="63" xfId="202" applyFont="1" applyBorder="1"/>
    <xf numFmtId="0" fontId="93" fillId="6" borderId="65" xfId="0" applyFont="1" applyFill="1" applyBorder="1"/>
    <xf numFmtId="0" fontId="60" fillId="0" borderId="44" xfId="202" applyFont="1" applyBorder="1"/>
    <xf numFmtId="164" fontId="60" fillId="0" borderId="25" xfId="102" applyNumberFormat="1" applyFont="1" applyBorder="1"/>
    <xf numFmtId="0" fontId="61" fillId="0" borderId="66" xfId="202" applyFont="1" applyBorder="1"/>
    <xf numFmtId="10" fontId="60" fillId="0" borderId="67" xfId="202" applyNumberFormat="1" applyFont="1" applyBorder="1"/>
    <xf numFmtId="0" fontId="60" fillId="0" borderId="67" xfId="202" applyFont="1" applyBorder="1"/>
    <xf numFmtId="42" fontId="59" fillId="0" borderId="68" xfId="202" applyNumberFormat="1" applyFont="1" applyBorder="1"/>
    <xf numFmtId="0" fontId="93" fillId="6" borderId="11" xfId="0" applyFont="1" applyFill="1" applyBorder="1"/>
    <xf numFmtId="0" fontId="60" fillId="0" borderId="0" xfId="0" applyFont="1" applyFill="1"/>
    <xf numFmtId="0" fontId="59" fillId="0" borderId="69" xfId="202" applyFont="1" applyFill="1" applyBorder="1"/>
    <xf numFmtId="0" fontId="60" fillId="0" borderId="70" xfId="0" applyFont="1" applyBorder="1"/>
    <xf numFmtId="168" fontId="59" fillId="9" borderId="71" xfId="0" applyNumberFormat="1" applyFont="1" applyFill="1" applyBorder="1"/>
    <xf numFmtId="0" fontId="60" fillId="0" borderId="61" xfId="0" applyFont="1" applyBorder="1"/>
    <xf numFmtId="168" fontId="59" fillId="9" borderId="23" xfId="0" applyNumberFormat="1" applyFont="1" applyFill="1" applyBorder="1"/>
    <xf numFmtId="164" fontId="60" fillId="0" borderId="0" xfId="1" applyNumberFormat="1" applyFont="1"/>
    <xf numFmtId="168" fontId="60" fillId="0" borderId="0" xfId="0" applyNumberFormat="1" applyFont="1" applyFill="1" applyBorder="1" applyAlignment="1">
      <alignment horizontal="center"/>
    </xf>
    <xf numFmtId="10" fontId="60" fillId="0" borderId="0" xfId="2" applyNumberFormat="1" applyFont="1"/>
    <xf numFmtId="0" fontId="60" fillId="0" borderId="0" xfId="0" applyFont="1" applyFill="1" applyBorder="1"/>
    <xf numFmtId="6" fontId="94" fillId="0" borderId="0" xfId="0" applyNumberFormat="1" applyFont="1" applyBorder="1" applyAlignment="1">
      <alignment horizontal="right" vertical="center"/>
    </xf>
    <xf numFmtId="0" fontId="59" fillId="0" borderId="0" xfId="0" applyFont="1" applyFill="1" applyBorder="1"/>
    <xf numFmtId="168" fontId="60" fillId="0" borderId="0" xfId="0" applyNumberFormat="1" applyFont="1"/>
    <xf numFmtId="168" fontId="60" fillId="0" borderId="0" xfId="1" applyNumberFormat="1" applyFont="1" applyFill="1" applyBorder="1" applyAlignment="1">
      <alignment horizontal="left"/>
    </xf>
    <xf numFmtId="168" fontId="60" fillId="0" borderId="0" xfId="0" applyNumberFormat="1" applyFont="1" applyAlignment="1">
      <alignment horizontal="left"/>
    </xf>
    <xf numFmtId="5" fontId="60" fillId="0" borderId="0" xfId="1" applyNumberFormat="1" applyFont="1" applyFill="1" applyBorder="1" applyAlignment="1">
      <alignment horizontal="left"/>
    </xf>
    <xf numFmtId="0" fontId="60" fillId="0" borderId="0" xfId="0" applyFont="1" applyFill="1" applyAlignment="1">
      <alignment horizontal="left"/>
    </xf>
    <xf numFmtId="10" fontId="60" fillId="0" borderId="0" xfId="0" applyNumberFormat="1" applyFont="1" applyBorder="1" applyAlignment="1">
      <alignment horizontal="left"/>
    </xf>
    <xf numFmtId="0" fontId="90" fillId="0" borderId="0" xfId="0" applyFont="1" applyBorder="1"/>
    <xf numFmtId="0" fontId="60" fillId="0" borderId="0" xfId="0" applyFont="1" applyBorder="1" applyAlignment="1">
      <alignment horizontal="center"/>
    </xf>
    <xf numFmtId="0" fontId="59" fillId="42" borderId="11" xfId="0" applyFont="1" applyFill="1" applyBorder="1" applyAlignment="1">
      <alignment horizontal="center"/>
    </xf>
    <xf numFmtId="0" fontId="59" fillId="42" borderId="9" xfId="0" applyFont="1" applyFill="1" applyBorder="1" applyAlignment="1">
      <alignment horizontal="center"/>
    </xf>
    <xf numFmtId="0" fontId="59" fillId="42" borderId="12" xfId="0" applyFont="1" applyFill="1" applyBorder="1" applyAlignment="1">
      <alignment horizontal="center"/>
    </xf>
    <xf numFmtId="0" fontId="59" fillId="0" borderId="8" xfId="0" applyFont="1" applyBorder="1" applyAlignment="1">
      <alignment horizontal="left"/>
    </xf>
    <xf numFmtId="0" fontId="59" fillId="0" borderId="18" xfId="0" applyFont="1" applyBorder="1" applyAlignment="1">
      <alignment horizontal="center"/>
    </xf>
    <xf numFmtId="0" fontId="59" fillId="0" borderId="10" xfId="0" applyFont="1" applyBorder="1" applyAlignment="1">
      <alignment horizontal="center"/>
    </xf>
    <xf numFmtId="0" fontId="59" fillId="0" borderId="0" xfId="0" applyFont="1" applyBorder="1"/>
    <xf numFmtId="0" fontId="60" fillId="0" borderId="75" xfId="0" applyFont="1" applyBorder="1" applyAlignment="1">
      <alignment horizontal="left"/>
    </xf>
    <xf numFmtId="168" fontId="60" fillId="0" borderId="76" xfId="0" applyNumberFormat="1" applyFont="1" applyFill="1" applyBorder="1" applyAlignment="1">
      <alignment horizontal="center"/>
    </xf>
    <xf numFmtId="0" fontId="60" fillId="6" borderId="77" xfId="0" applyFont="1" applyFill="1" applyBorder="1"/>
    <xf numFmtId="3" fontId="59" fillId="0" borderId="51" xfId="202" applyNumberFormat="1" applyFont="1" applyBorder="1" applyAlignment="1">
      <alignment horizontal="center"/>
    </xf>
    <xf numFmtId="0" fontId="59" fillId="0" borderId="0" xfId="202" applyFont="1" applyFill="1" applyBorder="1" applyAlignment="1">
      <alignment horizontal="center"/>
    </xf>
    <xf numFmtId="0" fontId="60" fillId="0" borderId="75" xfId="0" applyFont="1" applyBorder="1"/>
    <xf numFmtId="168" fontId="60" fillId="0" borderId="76" xfId="0" applyNumberFormat="1" applyFont="1" applyBorder="1" applyAlignment="1">
      <alignment horizontal="center"/>
    </xf>
    <xf numFmtId="0" fontId="59" fillId="0" borderId="0" xfId="202" applyFont="1" applyBorder="1" applyAlignment="1">
      <alignment horizontal="center"/>
    </xf>
    <xf numFmtId="0" fontId="59" fillId="0" borderId="14" xfId="202" applyFont="1" applyBorder="1" applyAlignment="1">
      <alignment horizontal="center"/>
    </xf>
    <xf numFmtId="164" fontId="60" fillId="0" borderId="0" xfId="1" applyNumberFormat="1" applyFont="1" applyBorder="1"/>
    <xf numFmtId="6" fontId="60" fillId="0" borderId="0" xfId="0" applyNumberFormat="1" applyFont="1" applyBorder="1"/>
    <xf numFmtId="0" fontId="60" fillId="0" borderId="69" xfId="0" applyFont="1" applyBorder="1"/>
    <xf numFmtId="168" fontId="60" fillId="0" borderId="70" xfId="0" applyNumberFormat="1" applyFont="1" applyBorder="1" applyAlignment="1">
      <alignment horizontal="center"/>
    </xf>
    <xf numFmtId="0" fontId="60" fillId="6" borderId="71" xfId="0" applyFont="1" applyFill="1" applyBorder="1"/>
    <xf numFmtId="0" fontId="60" fillId="0" borderId="65" xfId="202" applyFont="1" applyBorder="1"/>
    <xf numFmtId="168" fontId="60" fillId="0" borderId="78" xfId="202" applyNumberFormat="1" applyFont="1" applyBorder="1" applyAlignment="1">
      <alignment horizontal="center"/>
    </xf>
    <xf numFmtId="168" fontId="60" fillId="0" borderId="20" xfId="202" applyNumberFormat="1" applyFont="1" applyBorder="1" applyAlignment="1">
      <alignment horizontal="center"/>
    </xf>
    <xf numFmtId="8" fontId="60" fillId="0" borderId="0" xfId="0" applyNumberFormat="1" applyFont="1" applyBorder="1"/>
    <xf numFmtId="0" fontId="60" fillId="0" borderId="79" xfId="0" applyFont="1" applyBorder="1"/>
    <xf numFmtId="168" fontId="60" fillId="0" borderId="16" xfId="0" applyNumberFormat="1" applyFont="1" applyBorder="1" applyAlignment="1">
      <alignment horizontal="center"/>
    </xf>
    <xf numFmtId="0" fontId="60" fillId="0" borderId="80" xfId="0" applyFont="1" applyBorder="1"/>
    <xf numFmtId="168" fontId="60" fillId="0" borderId="14" xfId="202" applyNumberFormat="1" applyFont="1" applyBorder="1" applyAlignment="1">
      <alignment horizontal="center"/>
    </xf>
    <xf numFmtId="10" fontId="60" fillId="0" borderId="76" xfId="2" applyNumberFormat="1" applyFont="1" applyBorder="1" applyAlignment="1">
      <alignment horizontal="center"/>
    </xf>
    <xf numFmtId="0" fontId="60" fillId="6" borderId="81" xfId="0" applyFont="1" applyFill="1" applyBorder="1"/>
    <xf numFmtId="0" fontId="60" fillId="0" borderId="13" xfId="202" applyFont="1" applyBorder="1"/>
    <xf numFmtId="0" fontId="59" fillId="0" borderId="76" xfId="0" applyFont="1" applyBorder="1" applyAlignment="1">
      <alignment horizontal="center"/>
    </xf>
    <xf numFmtId="0" fontId="60" fillId="0" borderId="81" xfId="0" applyFont="1" applyBorder="1"/>
    <xf numFmtId="0" fontId="60" fillId="0" borderId="22" xfId="202" applyFont="1" applyBorder="1"/>
    <xf numFmtId="4" fontId="59" fillId="0" borderId="22" xfId="202" applyNumberFormat="1" applyFont="1" applyBorder="1"/>
    <xf numFmtId="168" fontId="60" fillId="0" borderId="54" xfId="202" applyNumberFormat="1" applyFont="1" applyBorder="1"/>
    <xf numFmtId="0" fontId="59" fillId="0" borderId="11" xfId="202" applyFont="1" applyBorder="1"/>
    <xf numFmtId="0" fontId="60" fillId="0" borderId="9" xfId="202" applyFont="1" applyBorder="1"/>
    <xf numFmtId="0" fontId="59" fillId="0" borderId="9" xfId="202" applyFont="1" applyBorder="1"/>
    <xf numFmtId="168" fontId="60" fillId="0" borderId="9" xfId="202" applyNumberFormat="1" applyFont="1" applyBorder="1"/>
    <xf numFmtId="168" fontId="60" fillId="0" borderId="81" xfId="0" applyNumberFormat="1" applyFont="1" applyBorder="1"/>
    <xf numFmtId="4" fontId="59" fillId="0" borderId="0" xfId="202" applyNumberFormat="1" applyFont="1" applyBorder="1"/>
    <xf numFmtId="168" fontId="60" fillId="0" borderId="14" xfId="202" applyNumberFormat="1" applyFont="1" applyBorder="1"/>
    <xf numFmtId="44" fontId="60" fillId="0" borderId="0" xfId="202" applyNumberFormat="1" applyFont="1" applyBorder="1"/>
    <xf numFmtId="0" fontId="59" fillId="0" borderId="8" xfId="202" applyFont="1" applyBorder="1"/>
    <xf numFmtId="0" fontId="59" fillId="0" borderId="18" xfId="202" applyFont="1" applyBorder="1"/>
    <xf numFmtId="164" fontId="59" fillId="0" borderId="18" xfId="202" applyNumberFormat="1" applyFont="1" applyBorder="1"/>
    <xf numFmtId="168" fontId="59" fillId="0" borderId="18" xfId="202" applyNumberFormat="1" applyFont="1" applyBorder="1"/>
    <xf numFmtId="10" fontId="60" fillId="0" borderId="0" xfId="2" applyNumberFormat="1" applyFont="1" applyBorder="1"/>
    <xf numFmtId="0" fontId="59" fillId="0" borderId="20" xfId="202" applyFont="1" applyBorder="1"/>
    <xf numFmtId="164" fontId="59" fillId="0" borderId="20" xfId="202" applyNumberFormat="1" applyFont="1" applyBorder="1"/>
    <xf numFmtId="168" fontId="59" fillId="0" borderId="20" xfId="202" applyNumberFormat="1" applyFont="1" applyBorder="1"/>
    <xf numFmtId="0" fontId="59" fillId="0" borderId="14" xfId="0" applyFont="1" applyBorder="1"/>
    <xf numFmtId="164" fontId="59" fillId="0" borderId="22" xfId="202" applyNumberFormat="1" applyFont="1" applyBorder="1"/>
    <xf numFmtId="168" fontId="59" fillId="0" borderId="54" xfId="202" applyNumberFormat="1" applyFont="1" applyBorder="1"/>
    <xf numFmtId="164" fontId="59" fillId="0" borderId="0" xfId="202" applyNumberFormat="1" applyFont="1" applyBorder="1"/>
    <xf numFmtId="168" fontId="59" fillId="0" borderId="0" xfId="202" applyNumberFormat="1" applyFont="1" applyBorder="1"/>
    <xf numFmtId="168" fontId="59" fillId="0" borderId="14" xfId="202" applyNumberFormat="1" applyFont="1" applyBorder="1"/>
    <xf numFmtId="0" fontId="61" fillId="0" borderId="49" xfId="202" applyFont="1" applyBorder="1"/>
    <xf numFmtId="0" fontId="60" fillId="0" borderId="11" xfId="0" applyFont="1" applyBorder="1"/>
    <xf numFmtId="10" fontId="60" fillId="0" borderId="9" xfId="0" applyNumberFormat="1" applyFont="1" applyBorder="1" applyAlignment="1">
      <alignment horizontal="center"/>
    </xf>
    <xf numFmtId="168" fontId="60" fillId="0" borderId="12" xfId="0" applyNumberFormat="1" applyFont="1" applyBorder="1"/>
    <xf numFmtId="10" fontId="60" fillId="0" borderId="18" xfId="202" applyNumberFormat="1" applyFont="1" applyBorder="1"/>
    <xf numFmtId="0" fontId="60" fillId="0" borderId="18" xfId="202" applyFont="1" applyBorder="1"/>
    <xf numFmtId="168" fontId="60" fillId="0" borderId="10" xfId="202" applyNumberFormat="1" applyFont="1" applyBorder="1"/>
    <xf numFmtId="0" fontId="60" fillId="0" borderId="11" xfId="202" applyFont="1" applyBorder="1"/>
    <xf numFmtId="10" fontId="60" fillId="0" borderId="9" xfId="202" applyNumberFormat="1" applyFont="1" applyBorder="1"/>
    <xf numFmtId="0" fontId="59" fillId="0" borderId="11" xfId="0" applyFont="1" applyBorder="1"/>
    <xf numFmtId="10" fontId="59" fillId="0" borderId="9" xfId="2" applyNumberFormat="1" applyFont="1" applyFill="1" applyBorder="1" applyAlignment="1">
      <alignment horizontal="center"/>
    </xf>
    <xf numFmtId="0" fontId="60" fillId="0" borderId="26" xfId="202" applyFont="1" applyBorder="1"/>
    <xf numFmtId="168" fontId="60" fillId="0" borderId="59" xfId="202" applyNumberFormat="1" applyFont="1" applyBorder="1"/>
    <xf numFmtId="0" fontId="60" fillId="0" borderId="15" xfId="202" applyFont="1" applyBorder="1"/>
    <xf numFmtId="10" fontId="60" fillId="0" borderId="21" xfId="202" applyNumberFormat="1" applyFont="1" applyBorder="1"/>
    <xf numFmtId="0" fontId="60" fillId="0" borderId="21" xfId="202" applyFont="1" applyBorder="1"/>
    <xf numFmtId="10" fontId="60" fillId="0" borderId="0" xfId="202" applyNumberFormat="1" applyFont="1" applyFill="1" applyBorder="1"/>
    <xf numFmtId="168" fontId="60" fillId="0" borderId="14" xfId="102" applyNumberFormat="1" applyFont="1" applyBorder="1"/>
    <xf numFmtId="10" fontId="60" fillId="0" borderId="22" xfId="202" applyNumberFormat="1" applyFont="1" applyBorder="1"/>
    <xf numFmtId="168" fontId="95" fillId="0" borderId="54" xfId="202" applyNumberFormat="1" applyFont="1" applyBorder="1" applyAlignment="1">
      <alignment horizontal="right"/>
    </xf>
    <xf numFmtId="10" fontId="60" fillId="0" borderId="20" xfId="202" applyNumberFormat="1" applyFont="1" applyBorder="1"/>
    <xf numFmtId="0" fontId="60" fillId="0" borderId="20" xfId="202" applyFont="1" applyBorder="1"/>
    <xf numFmtId="168" fontId="95" fillId="0" borderId="78" xfId="202" applyNumberFormat="1" applyFont="1" applyBorder="1" applyAlignment="1">
      <alignment horizontal="right"/>
    </xf>
    <xf numFmtId="168" fontId="60" fillId="0" borderId="0" xfId="102" applyNumberFormat="1" applyFont="1" applyBorder="1"/>
    <xf numFmtId="0" fontId="61" fillId="0" borderId="15" xfId="202" applyFont="1" applyFill="1" applyBorder="1"/>
    <xf numFmtId="44" fontId="59" fillId="0" borderId="21" xfId="202" applyNumberFormat="1" applyFont="1" applyFill="1" applyBorder="1"/>
    <xf numFmtId="44" fontId="59" fillId="0" borderId="21" xfId="102" applyFont="1" applyFill="1" applyBorder="1"/>
    <xf numFmtId="168" fontId="60" fillId="0" borderId="17" xfId="102" applyNumberFormat="1" applyFont="1" applyFill="1" applyBorder="1" applyAlignment="1">
      <alignment horizontal="right"/>
    </xf>
    <xf numFmtId="0" fontId="92" fillId="0" borderId="53" xfId="202" applyFont="1" applyFill="1" applyBorder="1"/>
    <xf numFmtId="44" fontId="59" fillId="0" borderId="22" xfId="202" applyNumberFormat="1" applyFont="1" applyFill="1" applyBorder="1"/>
    <xf numFmtId="44" fontId="59" fillId="0" borderId="22" xfId="102" applyFont="1" applyFill="1" applyBorder="1"/>
    <xf numFmtId="168" fontId="60" fillId="0" borderId="54" xfId="102" applyNumberFormat="1" applyFont="1" applyFill="1" applyBorder="1" applyAlignment="1">
      <alignment horizontal="right"/>
    </xf>
    <xf numFmtId="168" fontId="95" fillId="0" borderId="0" xfId="202" applyNumberFormat="1" applyFont="1" applyBorder="1" applyAlignment="1">
      <alignment horizontal="right"/>
    </xf>
    <xf numFmtId="0" fontId="92" fillId="0" borderId="83" xfId="0" applyFont="1" applyBorder="1"/>
    <xf numFmtId="0" fontId="60" fillId="0" borderId="84" xfId="0" applyFont="1" applyBorder="1"/>
    <xf numFmtId="6" fontId="59" fillId="9" borderId="85" xfId="0" applyNumberFormat="1" applyFont="1" applyFill="1" applyBorder="1"/>
    <xf numFmtId="0" fontId="59" fillId="0" borderId="13" xfId="202" applyFont="1" applyFill="1" applyBorder="1"/>
    <xf numFmtId="44" fontId="59" fillId="0" borderId="0" xfId="202" applyNumberFormat="1" applyFont="1" applyFill="1" applyBorder="1"/>
    <xf numFmtId="44" fontId="59" fillId="0" borderId="0" xfId="102" applyFont="1" applyFill="1" applyBorder="1"/>
    <xf numFmtId="42" fontId="59" fillId="0" borderId="0" xfId="102" applyNumberFormat="1" applyFont="1" applyFill="1" applyBorder="1" applyAlignment="1">
      <alignment horizontal="right"/>
    </xf>
    <xf numFmtId="0" fontId="60" fillId="0" borderId="83" xfId="0" applyFont="1" applyBorder="1"/>
    <xf numFmtId="8" fontId="60" fillId="0" borderId="0" xfId="0" applyNumberFormat="1" applyFont="1"/>
    <xf numFmtId="0" fontId="60" fillId="0" borderId="0" xfId="202" applyFont="1" applyFill="1" applyBorder="1"/>
    <xf numFmtId="168" fontId="60" fillId="0" borderId="0" xfId="102" applyNumberFormat="1" applyFont="1" applyFill="1" applyBorder="1"/>
    <xf numFmtId="168" fontId="95" fillId="0" borderId="0" xfId="202" applyNumberFormat="1" applyFont="1" applyFill="1" applyBorder="1" applyAlignment="1">
      <alignment horizontal="right"/>
    </xf>
    <xf numFmtId="164" fontId="60" fillId="0" borderId="0" xfId="0" applyNumberFormat="1" applyFont="1" applyBorder="1"/>
    <xf numFmtId="0" fontId="59" fillId="0" borderId="0" xfId="202" applyFont="1" applyFill="1" applyBorder="1"/>
    <xf numFmtId="6" fontId="59" fillId="0" borderId="0" xfId="0" applyNumberFormat="1" applyFont="1" applyFill="1" applyBorder="1"/>
    <xf numFmtId="6" fontId="59" fillId="0" borderId="84" xfId="0" applyNumberFormat="1" applyFont="1" applyBorder="1"/>
    <xf numFmtId="6" fontId="59" fillId="0" borderId="0" xfId="0" applyNumberFormat="1" applyFont="1" applyBorder="1"/>
    <xf numFmtId="8" fontId="60" fillId="0" borderId="0" xfId="0" applyNumberFormat="1" applyFont="1" applyFill="1" applyBorder="1"/>
    <xf numFmtId="0" fontId="92" fillId="6" borderId="13" xfId="0" applyFont="1" applyFill="1" applyBorder="1"/>
    <xf numFmtId="0" fontId="61" fillId="6" borderId="13" xfId="0" applyFont="1" applyFill="1" applyBorder="1"/>
    <xf numFmtId="10" fontId="60" fillId="6" borderId="0" xfId="0" applyNumberFormat="1" applyFont="1" applyFill="1" applyBorder="1"/>
    <xf numFmtId="10" fontId="60" fillId="6" borderId="0" xfId="0" applyNumberFormat="1" applyFont="1" applyFill="1" applyBorder="1" applyAlignment="1">
      <alignment vertical="center"/>
    </xf>
    <xf numFmtId="0" fontId="61" fillId="6" borderId="53" xfId="0" applyFont="1" applyFill="1" applyBorder="1"/>
    <xf numFmtId="0" fontId="61" fillId="6" borderId="65" xfId="0" applyFont="1" applyFill="1" applyBorder="1"/>
    <xf numFmtId="0" fontId="59" fillId="6" borderId="53" xfId="0" applyFont="1" applyFill="1" applyBorder="1"/>
    <xf numFmtId="0" fontId="60" fillId="0" borderId="75" xfId="0" applyFont="1" applyBorder="1" applyAlignment="1">
      <alignment wrapText="1"/>
    </xf>
    <xf numFmtId="10" fontId="16" fillId="0" borderId="61" xfId="0" applyNumberFormat="1" applyFont="1" applyFill="1" applyBorder="1"/>
    <xf numFmtId="10" fontId="16" fillId="0" borderId="56" xfId="2" applyNumberFormat="1" applyFont="1" applyFill="1" applyBorder="1"/>
    <xf numFmtId="0" fontId="20" fillId="7" borderId="11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left"/>
    </xf>
    <xf numFmtId="10" fontId="16" fillId="0" borderId="0" xfId="0" applyNumberFormat="1" applyFont="1" applyAlignment="1">
      <alignment horizontal="left"/>
    </xf>
    <xf numFmtId="5" fontId="83" fillId="0" borderId="0" xfId="0" applyNumberFormat="1" applyFont="1" applyFill="1" applyBorder="1" applyAlignment="1">
      <alignment horizontal="left"/>
    </xf>
    <xf numFmtId="5" fontId="83" fillId="0" borderId="14" xfId="0" applyNumberFormat="1" applyFont="1" applyFill="1" applyBorder="1" applyAlignment="1">
      <alignment horizontal="left"/>
    </xf>
    <xf numFmtId="5" fontId="16" fillId="0" borderId="0" xfId="0" applyNumberFormat="1" applyFont="1" applyAlignment="1">
      <alignment horizontal="left"/>
    </xf>
    <xf numFmtId="5" fontId="83" fillId="0" borderId="14" xfId="1" applyNumberFormat="1" applyFont="1" applyFill="1" applyBorder="1" applyAlignment="1">
      <alignment horizontal="left"/>
    </xf>
    <xf numFmtId="0" fontId="16" fillId="0" borderId="19" xfId="0" applyFont="1" applyFill="1" applyBorder="1" applyAlignment="1">
      <alignment horizontal="center"/>
    </xf>
    <xf numFmtId="164" fontId="16" fillId="6" borderId="82" xfId="1" applyNumberFormat="1" applyFont="1" applyFill="1" applyBorder="1"/>
    <xf numFmtId="10" fontId="16" fillId="6" borderId="24" xfId="0" applyNumberFormat="1" applyFont="1" applyFill="1" applyBorder="1"/>
    <xf numFmtId="10" fontId="16" fillId="0" borderId="24" xfId="0" applyNumberFormat="1" applyFont="1" applyBorder="1"/>
    <xf numFmtId="0" fontId="19" fillId="0" borderId="19" xfId="0" applyFont="1" applyFill="1" applyBorder="1" applyAlignment="1">
      <alignment horizontal="center"/>
    </xf>
    <xf numFmtId="164" fontId="16" fillId="0" borderId="19" xfId="0" applyNumberFormat="1" applyFont="1" applyFill="1" applyBorder="1" applyAlignment="1">
      <alignment horizontal="right"/>
    </xf>
    <xf numFmtId="10" fontId="0" fillId="0" borderId="24" xfId="0" applyNumberFormat="1" applyFont="1" applyBorder="1"/>
    <xf numFmtId="0" fontId="0" fillId="0" borderId="0" xfId="0" applyFont="1"/>
    <xf numFmtId="0" fontId="19" fillId="0" borderId="16" xfId="0" applyFont="1" applyFill="1" applyBorder="1" applyAlignment="1">
      <alignment horizontal="center"/>
    </xf>
    <xf numFmtId="0" fontId="0" fillId="0" borderId="19" xfId="0" applyFont="1" applyFill="1" applyBorder="1"/>
    <xf numFmtId="10" fontId="0" fillId="0" borderId="24" xfId="0" applyNumberFormat="1" applyFont="1" applyFill="1" applyBorder="1"/>
    <xf numFmtId="168" fontId="16" fillId="0" borderId="8" xfId="0" applyNumberFormat="1" applyFont="1" applyBorder="1" applyAlignment="1">
      <alignment horizontal="center"/>
    </xf>
    <xf numFmtId="10" fontId="0" fillId="0" borderId="13" xfId="0" applyNumberFormat="1" applyFont="1" applyBorder="1" applyAlignment="1">
      <alignment horizontal="center"/>
    </xf>
    <xf numFmtId="168" fontId="0" fillId="0" borderId="13" xfId="0" applyNumberFormat="1" applyFont="1" applyBorder="1" applyAlignment="1">
      <alignment horizontal="center"/>
    </xf>
    <xf numFmtId="5" fontId="1" fillId="0" borderId="13" xfId="70" applyNumberFormat="1" applyFont="1" applyFill="1" applyBorder="1" applyAlignment="1">
      <alignment horizontal="center"/>
    </xf>
    <xf numFmtId="168" fontId="0" fillId="0" borderId="66" xfId="0" applyNumberFormat="1" applyFont="1" applyBorder="1" applyAlignment="1">
      <alignment horizontal="center"/>
    </xf>
    <xf numFmtId="168" fontId="17" fillId="9" borderId="49" xfId="0" applyNumberFormat="1" applyFont="1" applyFill="1" applyBorder="1" applyAlignment="1">
      <alignment horizontal="center"/>
    </xf>
  </cellXfs>
  <cellStyles count="305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Bad 3" xfId="29"/>
    <cellStyle name="Body: normal cell" xfId="30"/>
    <cellStyle name="Calculation 2" xfId="31"/>
    <cellStyle name="Calculation 2 2" xfId="32"/>
    <cellStyle name="Calculation 2 3" xfId="33"/>
    <cellStyle name="Check Cell 2" xfId="34"/>
    <cellStyle name="Comma [0] 2" xfId="35"/>
    <cellStyle name="Comma 10" xfId="36"/>
    <cellStyle name="Comma 11" xfId="37"/>
    <cellStyle name="Comma 2" xfId="38"/>
    <cellStyle name="Comma 2 2" xfId="39"/>
    <cellStyle name="Comma 2 2 2" xfId="40"/>
    <cellStyle name="Comma 2 3" xfId="41"/>
    <cellStyle name="Comma 3" xfId="42"/>
    <cellStyle name="Comma 3 2" xfId="43"/>
    <cellStyle name="Comma 3 3" xfId="44"/>
    <cellStyle name="Comma 3 4" xfId="45"/>
    <cellStyle name="Comma 4" xfId="46"/>
    <cellStyle name="Comma 4 2" xfId="47"/>
    <cellStyle name="Comma 5" xfId="48"/>
    <cellStyle name="Comma 5 2" xfId="49"/>
    <cellStyle name="Comma 5 3" xfId="50"/>
    <cellStyle name="Comma 6" xfId="51"/>
    <cellStyle name="Comma 6 2" xfId="52"/>
    <cellStyle name="Comma 7" xfId="53"/>
    <cellStyle name="Comma 7 2" xfId="54"/>
    <cellStyle name="Comma 8" xfId="55"/>
    <cellStyle name="Comma 9" xfId="56"/>
    <cellStyle name="Currency" xfId="1" builtinId="4"/>
    <cellStyle name="Currency [0] 2" xfId="57"/>
    <cellStyle name="Currency 10" xfId="58"/>
    <cellStyle name="Currency 11" xfId="59"/>
    <cellStyle name="Currency 12" xfId="60"/>
    <cellStyle name="Currency 13" xfId="61"/>
    <cellStyle name="Currency 14" xfId="62"/>
    <cellStyle name="Currency 15" xfId="63"/>
    <cellStyle name="Currency 16" xfId="64"/>
    <cellStyle name="Currency 17" xfId="65"/>
    <cellStyle name="Currency 18" xfId="66"/>
    <cellStyle name="Currency 19" xfId="67"/>
    <cellStyle name="Currency 2" xfId="68"/>
    <cellStyle name="Currency 2 2" xfId="69"/>
    <cellStyle name="Currency 2 2 2" xfId="70"/>
    <cellStyle name="Currency 2 2 2 2" xfId="71"/>
    <cellStyle name="Currency 2 2 2 3" xfId="72"/>
    <cellStyle name="Currency 2 3" xfId="73"/>
    <cellStyle name="Currency 2 4" xfId="74"/>
    <cellStyle name="Currency 2 4 2" xfId="75"/>
    <cellStyle name="Currency 2 5" xfId="76"/>
    <cellStyle name="Currency 20" xfId="77"/>
    <cellStyle name="Currency 21" xfId="78"/>
    <cellStyle name="Currency 22" xfId="79"/>
    <cellStyle name="Currency 23" xfId="80"/>
    <cellStyle name="Currency 24" xfId="81"/>
    <cellStyle name="Currency 25" xfId="82"/>
    <cellStyle name="Currency 26" xfId="83"/>
    <cellStyle name="Currency 27" xfId="84"/>
    <cellStyle name="Currency 28" xfId="85"/>
    <cellStyle name="Currency 29" xfId="86"/>
    <cellStyle name="Currency 3" xfId="87"/>
    <cellStyle name="Currency 3 2" xfId="88"/>
    <cellStyle name="Currency 3 3" xfId="89"/>
    <cellStyle name="Currency 3 4" xfId="90"/>
    <cellStyle name="Currency 3 5" xfId="91"/>
    <cellStyle name="Currency 30" xfId="92"/>
    <cellStyle name="Currency 31" xfId="93"/>
    <cellStyle name="Currency 32" xfId="94"/>
    <cellStyle name="Currency 33" xfId="95"/>
    <cellStyle name="Currency 34" xfId="96"/>
    <cellStyle name="Currency 35" xfId="97"/>
    <cellStyle name="Currency 36" xfId="98"/>
    <cellStyle name="Currency 37" xfId="99"/>
    <cellStyle name="Currency 38" xfId="100"/>
    <cellStyle name="Currency 39" xfId="101"/>
    <cellStyle name="Currency 4" xfId="102"/>
    <cellStyle name="Currency 4 2" xfId="103"/>
    <cellStyle name="Currency 4 2 2" xfId="104"/>
    <cellStyle name="Currency 4 2 2 2" xfId="105"/>
    <cellStyle name="Currency 4 2 2 3" xfId="106"/>
    <cellStyle name="Currency 4 2 3" xfId="107"/>
    <cellStyle name="Currency 4 3" xfId="108"/>
    <cellStyle name="Currency 4 3 2" xfId="109"/>
    <cellStyle name="Currency 4 3 3" xfId="110"/>
    <cellStyle name="Currency 4 4" xfId="111"/>
    <cellStyle name="Currency 4 5" xfId="112"/>
    <cellStyle name="Currency 40" xfId="113"/>
    <cellStyle name="Currency 41" xfId="114"/>
    <cellStyle name="Currency 42" xfId="115"/>
    <cellStyle name="Currency 43" xfId="116"/>
    <cellStyle name="Currency 44" xfId="117"/>
    <cellStyle name="Currency 45" xfId="118"/>
    <cellStyle name="Currency 46" xfId="119"/>
    <cellStyle name="Currency 47" xfId="302"/>
    <cellStyle name="Currency 5" xfId="120"/>
    <cellStyle name="Currency 5 2" xfId="121"/>
    <cellStyle name="Currency 5 2 2" xfId="122"/>
    <cellStyle name="Currency 5 3" xfId="123"/>
    <cellStyle name="Currency 5 3 2" xfId="124"/>
    <cellStyle name="Currency 5 3 3" xfId="125"/>
    <cellStyle name="Currency 5 4" xfId="126"/>
    <cellStyle name="Currency 5 5" xfId="127"/>
    <cellStyle name="Currency 5 6" xfId="128"/>
    <cellStyle name="Currency 6" xfId="129"/>
    <cellStyle name="Currency 6 2" xfId="130"/>
    <cellStyle name="Currency 6 3" xfId="131"/>
    <cellStyle name="Currency 7" xfId="132"/>
    <cellStyle name="Currency 7 2" xfId="133"/>
    <cellStyle name="Currency 7 3" xfId="134"/>
    <cellStyle name="Currency 8" xfId="135"/>
    <cellStyle name="Currency 8 2" xfId="136"/>
    <cellStyle name="Currency 9" xfId="137"/>
    <cellStyle name="Explanatory Text 2" xfId="138"/>
    <cellStyle name="Explanatory Text 2 2" xfId="139"/>
    <cellStyle name="Explanatory Text 2 3" xfId="140"/>
    <cellStyle name="Font: Calibri, 9pt regular" xfId="141"/>
    <cellStyle name="Footnotes: top row" xfId="142"/>
    <cellStyle name="Good 2" xfId="143"/>
    <cellStyle name="Header: bottom row" xfId="144"/>
    <cellStyle name="Heading 1 2" xfId="145"/>
    <cellStyle name="Heading 1 2 2" xfId="146"/>
    <cellStyle name="Heading 1 2 3" xfId="147"/>
    <cellStyle name="Heading 2 2" xfId="148"/>
    <cellStyle name="Heading 2 2 2" xfId="149"/>
    <cellStyle name="Heading 2 2 3" xfId="150"/>
    <cellStyle name="Heading 3 2" xfId="151"/>
    <cellStyle name="Heading 3 2 2" xfId="152"/>
    <cellStyle name="Heading 3 2 3" xfId="153"/>
    <cellStyle name="Heading 4 2" xfId="154"/>
    <cellStyle name="Heading 4 2 2" xfId="155"/>
    <cellStyle name="Heading 4 2 3" xfId="156"/>
    <cellStyle name="Hyperlink 2" xfId="157"/>
    <cellStyle name="Input" xfId="3" builtinId="20"/>
    <cellStyle name="Input 2" xfId="158"/>
    <cellStyle name="Input 2 2" xfId="159"/>
    <cellStyle name="Input 2 3" xfId="160"/>
    <cellStyle name="Linked Cell 2" xfId="161"/>
    <cellStyle name="Linked Cell 2 2" xfId="162"/>
    <cellStyle name="Linked Cell 2 3" xfId="163"/>
    <cellStyle name="Neutral 2" xfId="164"/>
    <cellStyle name="Normal" xfId="0" builtinId="0"/>
    <cellStyle name="Normal 10" xfId="165"/>
    <cellStyle name="Normal 10 2" xfId="166"/>
    <cellStyle name="Normal 10 3" xfId="167"/>
    <cellStyle name="Normal 10 3 2" xfId="168"/>
    <cellStyle name="Normal 11" xfId="169"/>
    <cellStyle name="Normal 11 2" xfId="170"/>
    <cellStyle name="Normal 11 2 2" xfId="171"/>
    <cellStyle name="Normal 12" xfId="172"/>
    <cellStyle name="Normal 13" xfId="173"/>
    <cellStyle name="Normal 13 2" xfId="174"/>
    <cellStyle name="Normal 14" xfId="175"/>
    <cellStyle name="Normal 14 2" xfId="176"/>
    <cellStyle name="Normal 15" xfId="177"/>
    <cellStyle name="Normal 16" xfId="178"/>
    <cellStyle name="Normal 17" xfId="179"/>
    <cellStyle name="Normal 17 2" xfId="180"/>
    <cellStyle name="Normal 18" xfId="181"/>
    <cellStyle name="Normal 19" xfId="182"/>
    <cellStyle name="Normal 2" xfId="183"/>
    <cellStyle name="Normal 2 2" xfId="184"/>
    <cellStyle name="Normal 2 2 2" xfId="185"/>
    <cellStyle name="Normal 2 2 3" xfId="186"/>
    <cellStyle name="Normal 2 3" xfId="187"/>
    <cellStyle name="Normal 2 3 2" xfId="188"/>
    <cellStyle name="Normal 2 3 3" xfId="189"/>
    <cellStyle name="Normal 2 4" xfId="190"/>
    <cellStyle name="Normal 2 4 2" xfId="191"/>
    <cellStyle name="Normal 2 4 3" xfId="192"/>
    <cellStyle name="Normal 2 5" xfId="193"/>
    <cellStyle name="Normal 2 5 2" xfId="194"/>
    <cellStyle name="Normal 20" xfId="195"/>
    <cellStyle name="Normal 21" xfId="196"/>
    <cellStyle name="Normal 22" xfId="197"/>
    <cellStyle name="Normal 23" xfId="198"/>
    <cellStyle name="Normal 23 2" xfId="199"/>
    <cellStyle name="Normal 24" xfId="303"/>
    <cellStyle name="Normal 3" xfId="200"/>
    <cellStyle name="Normal 3 2" xfId="201"/>
    <cellStyle name="Normal 3 2 2" xfId="202"/>
    <cellStyle name="Normal 3 2 3" xfId="203"/>
    <cellStyle name="Normal 3 2 4" xfId="204"/>
    <cellStyle name="Normal 3 3" xfId="205"/>
    <cellStyle name="Normal 3 3 2" xfId="206"/>
    <cellStyle name="Normal 3 4" xfId="207"/>
    <cellStyle name="Normal 3 4 2" xfId="208"/>
    <cellStyle name="Normal 3 5" xfId="209"/>
    <cellStyle name="Normal 3 9" xfId="210"/>
    <cellStyle name="Normal 4" xfId="211"/>
    <cellStyle name="Normal 4 2" xfId="212"/>
    <cellStyle name="Normal 4 2 2" xfId="213"/>
    <cellStyle name="Normal 4 2 2 2" xfId="214"/>
    <cellStyle name="Normal 4 2 2 3" xfId="215"/>
    <cellStyle name="Normal 4 2 3" xfId="216"/>
    <cellStyle name="Normal 4 2 3 2" xfId="217"/>
    <cellStyle name="Normal 4 3" xfId="218"/>
    <cellStyle name="Normal 4 3 2" xfId="219"/>
    <cellStyle name="Normal 4 3 3" xfId="220"/>
    <cellStyle name="Normal 4 4" xfId="221"/>
    <cellStyle name="Normal 5" xfId="222"/>
    <cellStyle name="Normal 5 2" xfId="223"/>
    <cellStyle name="Normal 5 3" xfId="304"/>
    <cellStyle name="Normal 6" xfId="224"/>
    <cellStyle name="Normal 6 2" xfId="225"/>
    <cellStyle name="Normal 6 2 2" xfId="226"/>
    <cellStyle name="Normal 6 2 2 2" xfId="227"/>
    <cellStyle name="Normal 6 2 3" xfId="228"/>
    <cellStyle name="Normal 6 2 4" xfId="229"/>
    <cellStyle name="Normal 6 3" xfId="230"/>
    <cellStyle name="Normal 6 4" xfId="231"/>
    <cellStyle name="Normal 7" xfId="232"/>
    <cellStyle name="Normal 7 2" xfId="233"/>
    <cellStyle name="Normal 7 3" xfId="234"/>
    <cellStyle name="Normal 8" xfId="235"/>
    <cellStyle name="Normal 8 2" xfId="236"/>
    <cellStyle name="Normal 8 3" xfId="237"/>
    <cellStyle name="Normal 8 4" xfId="238"/>
    <cellStyle name="Normal 8 5" xfId="239"/>
    <cellStyle name="Normal 9" xfId="240"/>
    <cellStyle name="Normal 9 2" xfId="241"/>
    <cellStyle name="Normal 9 2 2" xfId="242"/>
    <cellStyle name="Normal 9 2 3" xfId="243"/>
    <cellStyle name="Normal 9 3" xfId="244"/>
    <cellStyle name="Note 2" xfId="245"/>
    <cellStyle name="Note 2 2" xfId="246"/>
    <cellStyle name="Note 2 3" xfId="247"/>
    <cellStyle name="Output 2" xfId="248"/>
    <cellStyle name="Output 2 2" xfId="249"/>
    <cellStyle name="Output 2 3" xfId="250"/>
    <cellStyle name="Parent row" xfId="251"/>
    <cellStyle name="Percent" xfId="2" builtinId="5"/>
    <cellStyle name="Percent 10" xfId="252"/>
    <cellStyle name="Percent 10 2" xfId="253"/>
    <cellStyle name="Percent 11" xfId="254"/>
    <cellStyle name="Percent 2" xfId="255"/>
    <cellStyle name="Percent 2 2" xfId="256"/>
    <cellStyle name="Percent 2 2 2" xfId="257"/>
    <cellStyle name="Percent 2 2 3" xfId="258"/>
    <cellStyle name="Percent 2 3" xfId="259"/>
    <cellStyle name="Percent 2 4" xfId="260"/>
    <cellStyle name="Percent 2 5" xfId="261"/>
    <cellStyle name="Percent 3" xfId="262"/>
    <cellStyle name="Percent 3 2" xfId="263"/>
    <cellStyle name="Percent 3 2 2" xfId="264"/>
    <cellStyle name="Percent 3 2 3" xfId="265"/>
    <cellStyle name="Percent 3 3" xfId="266"/>
    <cellStyle name="Percent 4" xfId="267"/>
    <cellStyle name="Percent 4 2" xfId="268"/>
    <cellStyle name="Percent 4 2 2" xfId="269"/>
    <cellStyle name="Percent 4 2 3" xfId="270"/>
    <cellStyle name="Percent 4 3" xfId="271"/>
    <cellStyle name="Percent 4 3 2" xfId="272"/>
    <cellStyle name="Percent 5" xfId="273"/>
    <cellStyle name="Percent 5 2" xfId="274"/>
    <cellStyle name="Percent 5 2 2" xfId="275"/>
    <cellStyle name="Percent 5 3" xfId="276"/>
    <cellStyle name="Percent 5 4" xfId="277"/>
    <cellStyle name="Percent 5 5" xfId="278"/>
    <cellStyle name="Percent 6" xfId="279"/>
    <cellStyle name="Percent 6 2" xfId="280"/>
    <cellStyle name="Percent 6 3" xfId="281"/>
    <cellStyle name="Percent 6 4" xfId="282"/>
    <cellStyle name="Percent 7" xfId="283"/>
    <cellStyle name="Percent 7 2" xfId="284"/>
    <cellStyle name="Percent 7 3" xfId="285"/>
    <cellStyle name="Percent 7 4" xfId="286"/>
    <cellStyle name="Percent 8" xfId="287"/>
    <cellStyle name="Percent 8 2" xfId="288"/>
    <cellStyle name="Percent 8 3" xfId="289"/>
    <cellStyle name="Percent 9" xfId="290"/>
    <cellStyle name="Percent 9 2" xfId="291"/>
    <cellStyle name="Table title" xfId="292"/>
    <cellStyle name="Title 2" xfId="293"/>
    <cellStyle name="Title 2 2" xfId="294"/>
    <cellStyle name="Title 2 3" xfId="295"/>
    <cellStyle name="Total 2" xfId="296"/>
    <cellStyle name="Total 2 2" xfId="297"/>
    <cellStyle name="Total 2 3" xfId="298"/>
    <cellStyle name="Warning Text 2" xfId="299"/>
    <cellStyle name="Warning Text 2 2" xfId="300"/>
    <cellStyle name="Warning Text 2 3" xfId="3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267336</xdr:colOff>
      <xdr:row>26</xdr:row>
      <xdr:rowOff>158750</xdr:rowOff>
    </xdr:from>
    <xdr:to>
      <xdr:col>0</xdr:col>
      <xdr:colOff>313055</xdr:colOff>
      <xdr:row>27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38206873-99AF-F34F-8018-16823990A72B}"/>
            </a:ext>
          </a:extLst>
        </xdr:cNvPr>
        <xdr:cNvSpPr txBox="1"/>
      </xdr:nvSpPr>
      <xdr:spPr>
        <a:xfrm flipV="1">
          <a:off x="267336" y="6338570"/>
          <a:ext cx="38099" cy="774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Youth%20and%20Young%20Adults%20Support%20Services-CMR%20427\FY22%20Rate%20Review\1.%20Strategy%20Materials\1.%20YPS%20Model%201.5.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EHS-FP-BOS-081\Users\Villacorta\Downloads\FINAL%20ANALYSIS%20Counseling%20Rate%20Options%20071913.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Hcf06\workgroups\W_Pricing\SubAbuse\2012\Data\Outpatient%20Counseling%20&amp;%20Other%20Related\Counseling%20Rate%20Options%20MARCH%20181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EHS-FP-BOS-081\Users\HNaciri\Downloads\Resi%20Rehab%203386&amp;3401%20122613%20330pm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EHS-FP-BOS-081\W_Pricing\SubAbuse\2013\Resi%20Rehab\Data\Resi%20Rehab%20_All%20Codes%20Analysi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EHS-FP-BOS-081\E\X\Data%20&amp;%20Reporting%20Tools\STARR%20Utilization\STARR%20Utilization%20Tool%20FY10%20Jun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Administrative%20Services-POS%20Policy%20Office\Admin%20&amp;%20Staff\Kara\Workforce%20Initiatives\3.%20Benchmark%20Analysis%20for%20FY21%20FOI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Youth%20and%20Young%20Adults%20Support%20Services-CMR%20427\FY22%20Rate%20Review\1.%20Strategy%20Materials\3.%20Conflict%20Model%201.5.2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Youth%20and%20Young%20Adults%20Support%20Services-CMR%20427\FY22%20Rate%20Review\1.%20Strategy%20Materials\5.%20TPP%203438%20Model%201.19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Youth%20and%20Young%20Adults%20Support%20Services-CMR%20427\FY22%20Rate%20Review\1.%20Strategy%20Materials\4.%20Therapeutic%20Models%201.15.2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Administrative%20Services-POS%20Policy%20Office\Rate%20Setting\Rate%20Projects\YITs%20413-%20FY22%20DCF%20&amp;%20DMH\July%202021\1.%20Strategy%20materials\4.%20Ch.%20257%20Model%20-%20CC%20Draft%20model%20budgets%20with%20New%20Models%205.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Users\Villacorta\Downloads\FINAL%20ANALYSIS%20Counseling%20Rate%20Options%20071913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cf06\workgroups\W_Pricing\SubAbuse\2012\Data\Outpatient%20Counseling%20&amp;%20Other%20Related\Counseling%20Rate%20Options%20MARCH%2018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Users\HNaciri\Downloads\Resi%20Rehab%203386&amp;3401%20122613%20330pm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W_Pricing\SubAbuse\2013\Resi%20Rehab\Data\Resi%20Rehab%20_All%20Codes%20Analysi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Youth%20and%20Young%20Adults%20Support%20Services-CMR%20427\FY22%20Rate%20Review\1.%20Strategy%20Materials\2.%20ALP%20Models%201.7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der List"/>
      <sheetName val="Chart"/>
      <sheetName val="YPS Model Budget 1"/>
      <sheetName val="YPS Linear model 2021 "/>
      <sheetName val="YPS Model Budget (3)"/>
      <sheetName val="comparison"/>
      <sheetName val="FY21 Add on Rates  (2)"/>
      <sheetName val="Fiscal impact RR"/>
      <sheetName val="CAF Fall 2020"/>
      <sheetName val="Units"/>
      <sheetName val="Add-On "/>
      <sheetName val="UFR Data 2019"/>
    </sheetNames>
    <sheetDataSet>
      <sheetData sheetId="0" refreshError="1"/>
      <sheetData sheetId="1">
        <row r="6">
          <cell r="C6">
            <v>32198.400000000001</v>
          </cell>
        </row>
        <row r="8">
          <cell r="C8">
            <v>41516.800000000003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>
        <row r="25">
          <cell r="CA25">
            <v>1.9959404600811814E-2</v>
          </cell>
        </row>
      </sheetData>
      <sheetData sheetId="9" refreshError="1"/>
      <sheetData sheetId="10" refreshError="1"/>
      <sheetData sheetId="11">
        <row r="5">
          <cell r="E5">
            <v>6145.2760401991172</v>
          </cell>
          <cell r="O5">
            <v>943.17322074788888</v>
          </cell>
          <cell r="U5">
            <v>40.566037735849058</v>
          </cell>
          <cell r="AK5">
            <v>1502.6805017103766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Direct Care"/>
      <sheetName val="Direct Care III "/>
      <sheetName val="CNA"/>
      <sheetName val="Caseworker BA"/>
      <sheetName val="Casemanager MA "/>
      <sheetName val="Clinician w indep Lic"/>
      <sheetName val="Clinical Manager"/>
      <sheetName val="LPN"/>
      <sheetName val="BS RN"/>
      <sheetName val="MA RN. AP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F"/>
      <sheetName val="Model Budget (CSSE)"/>
      <sheetName val="Model Budget old (CSSI)"/>
      <sheetName val="Model Budget (ALP) "/>
      <sheetName val="ALP Contract Data"/>
      <sheetName val="Model Budget (MDAT)"/>
      <sheetName val="FBCS Contract Data "/>
      <sheetName val="Combined Fiscal Impact"/>
      <sheetName val="Chart"/>
      <sheetName val="Conflict Model 1 &amp; 5 Family"/>
      <sheetName val="Conflict Model 1&amp;5 Family Budge"/>
      <sheetName val="Comparison "/>
      <sheetName val="Fiscal Impact original"/>
      <sheetName val="Fiscal Impact"/>
      <sheetName val="CAF Fall 2020"/>
      <sheetName val="CAF Sp 2016"/>
      <sheetName val="CSSI Contract Data"/>
      <sheetName val="CAF Spring 201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C6">
            <v>32198.400000000001</v>
          </cell>
        </row>
        <row r="8">
          <cell r="C8">
            <v>41516.800000000003</v>
          </cell>
        </row>
      </sheetData>
      <sheetData sheetId="9" refreshError="1"/>
      <sheetData sheetId="10"/>
      <sheetData sheetId="11" refreshError="1"/>
      <sheetData sheetId="12" refreshError="1"/>
      <sheetData sheetId="13" refreshError="1"/>
      <sheetData sheetId="14">
        <row r="25">
          <cell r="CA25">
            <v>1.9959404600811814E-2</v>
          </cell>
        </row>
      </sheetData>
      <sheetData sheetId="15">
        <row r="40">
          <cell r="BD40">
            <v>4.2774125940745131E-2</v>
          </cell>
        </row>
      </sheetData>
      <sheetData sheetId="16"/>
      <sheetData sheetId="17">
        <row r="27">
          <cell r="BQ27">
            <v>2.6804860614724868E-2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RATE MODEL"/>
      <sheetName val="Model Budget TPP"/>
      <sheetName val="Occupancy FY18"/>
      <sheetName val="Occupancy FY18 UFR"/>
      <sheetName val="Other Expenses FY18 Pivot"/>
      <sheetName val="FY18 UFR Pivot"/>
      <sheetName val="Spring 2016 Forecast"/>
      <sheetName val="Spring 2018"/>
      <sheetName val="Raw UFR"/>
      <sheetName val="FY14 Clean"/>
      <sheetName val="FY 15 Contracts"/>
      <sheetName val="FTE Analysis"/>
      <sheetName val="FTE COUNT"/>
      <sheetName val="Salary "/>
      <sheetName val="FY14 Pivots"/>
      <sheetName val="Avg Hours Reported in Survey"/>
      <sheetName val="Original Session Data"/>
      <sheetName val="Fiscal Impact original"/>
      <sheetName val="Fiscal Options"/>
      <sheetName val="Sheet1"/>
      <sheetName val="Sheet2"/>
      <sheetName val="Contracts"/>
      <sheetName val="Fiscal Impact"/>
      <sheetName val="Add ons"/>
      <sheetName val="CAF Fall 2020"/>
      <sheetName val="FY19 UFR BTL"/>
    </sheetNames>
    <sheetDataSet>
      <sheetData sheetId="0">
        <row r="6">
          <cell r="C6">
            <v>32198.400000000001</v>
          </cell>
        </row>
        <row r="8">
          <cell r="C8">
            <v>41516.800000000003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4">
          <cell r="I14">
            <v>36919.588974854931</v>
          </cell>
        </row>
      </sheetData>
      <sheetData sheetId="15">
        <row r="28">
          <cell r="E28">
            <v>0.15569348159264632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5">
          <cell r="CA25">
            <v>1.9959404600811814E-2</v>
          </cell>
        </row>
      </sheetData>
      <sheetData sheetId="26">
        <row r="5">
          <cell r="E5">
            <v>7007.3073753605286</v>
          </cell>
          <cell r="O5">
            <v>556.00233100233095</v>
          </cell>
          <cell r="AQ5">
            <v>6912.1807909604522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Impact "/>
      <sheetName val="Chart"/>
      <sheetName val="Model I"/>
      <sheetName val="Model I Budget"/>
      <sheetName val="Model II"/>
      <sheetName val="Model II Budget"/>
      <sheetName val="Model III"/>
      <sheetName val="Model III Budget"/>
      <sheetName val="Model IV"/>
      <sheetName val="Model IV Budget"/>
      <sheetName val="FY21 Add on Rates  (2)"/>
      <sheetName val="Fiscal Impact"/>
      <sheetName val="Clinc Add On Budget"/>
      <sheetName val="Clinc Add On"/>
      <sheetName val="DC or Peer Add On Budget"/>
      <sheetName val="Occupancy FY18"/>
      <sheetName val="Occupancy FY18 UFR"/>
      <sheetName val="Other Expenses FY18 Pivot"/>
      <sheetName val="FY18 UFR Pivot"/>
      <sheetName val="DC or Peer Add On"/>
      <sheetName val="Spring 2018"/>
      <sheetName val="Pivots"/>
      <sheetName val="Salary"/>
      <sheetName val="Occupancy "/>
      <sheetName val="Spring 2016 Forecast"/>
      <sheetName val="VehicleAddOn"/>
      <sheetName val="DMH Contract Spend FY17"/>
      <sheetName val="FY17 Contracts Raw Data"/>
      <sheetName val="FY15 UFR Data"/>
      <sheetName val="Fiscal Impact Original"/>
      <sheetName val="CAF Fall 2020"/>
    </sheetNames>
    <sheetDataSet>
      <sheetData sheetId="0" refreshError="1"/>
      <sheetData sheetId="1">
        <row r="6">
          <cell r="C6">
            <v>32198.400000000001</v>
          </cell>
        </row>
        <row r="8">
          <cell r="C8">
            <v>41516.800000000003</v>
          </cell>
        </row>
        <row r="16">
          <cell r="C16">
            <v>60923.199999999997</v>
          </cell>
        </row>
      </sheetData>
      <sheetData sheetId="2">
        <row r="22">
          <cell r="K22" t="str">
            <v>Effective 7/1/19</v>
          </cell>
        </row>
      </sheetData>
      <sheetData sheetId="3">
        <row r="6">
          <cell r="J6">
            <v>60923</v>
          </cell>
        </row>
        <row r="7">
          <cell r="H7" t="str">
            <v>Direct Care III</v>
          </cell>
        </row>
      </sheetData>
      <sheetData sheetId="4">
        <row r="24">
          <cell r="H24" t="str">
            <v>PFMLA Trust Contribution</v>
          </cell>
          <cell r="K24" t="str">
            <v>Effective 7/1/19</v>
          </cell>
        </row>
        <row r="39">
          <cell r="B39" t="str">
            <v>Total Annual Amount</v>
          </cell>
        </row>
      </sheetData>
      <sheetData sheetId="5"/>
      <sheetData sheetId="6">
        <row r="24">
          <cell r="M24" t="str">
            <v>PFMLA Trust Contribution</v>
          </cell>
          <cell r="P24" t="str">
            <v>Effective 7/1/19</v>
          </cell>
        </row>
      </sheetData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7">
          <cell r="E27">
            <v>0.10213346631589997</v>
          </cell>
        </row>
        <row r="28">
          <cell r="E28">
            <v>7.5016021950550016E-2</v>
          </cell>
        </row>
        <row r="29">
          <cell r="E29">
            <v>5.3120713381439047E-2</v>
          </cell>
        </row>
        <row r="32">
          <cell r="D32">
            <v>6153.4500865996679</v>
          </cell>
        </row>
        <row r="37">
          <cell r="C37">
            <v>1164.5454545454545</v>
          </cell>
        </row>
        <row r="45">
          <cell r="C45">
            <v>8188.59</v>
          </cell>
        </row>
      </sheetData>
      <sheetData sheetId="22">
        <row r="6">
          <cell r="AD6">
            <v>55227.517929715519</v>
          </cell>
        </row>
        <row r="8">
          <cell r="AB8">
            <v>0.76054545454545452</v>
          </cell>
        </row>
        <row r="17">
          <cell r="AD17">
            <v>43178.164933135224</v>
          </cell>
        </row>
        <row r="19">
          <cell r="AB19">
            <v>0.30590909090909091</v>
          </cell>
        </row>
        <row r="28">
          <cell r="AD28">
            <v>31575.326535341828</v>
          </cell>
        </row>
        <row r="30">
          <cell r="AB30">
            <v>2.9420454545454549</v>
          </cell>
        </row>
        <row r="35">
          <cell r="AD35">
            <v>31005.955465587038</v>
          </cell>
        </row>
        <row r="37">
          <cell r="AB37">
            <v>0.11227272727272729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5">
          <cell r="CA25">
            <v>1.9959404600811814E-2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y Bench Chart"/>
      <sheetName val="Consolidated Rate Chart"/>
      <sheetName val="FY21 Add on Rates "/>
      <sheetName val="EXAMPLE - Group Home 1-4"/>
      <sheetName val="GH 12 Beds(DMH) "/>
      <sheetName val="Latency Res with H. Parent"/>
      <sheetName val="XXCTR 0-6"/>
      <sheetName val="XXCTR 7-12"/>
      <sheetName val="Short Term CTR"/>
      <sheetName val="Teen Parent"/>
      <sheetName val="Emergency Model"/>
      <sheetName val="The CTR model (was 13-17)"/>
      <sheetName val="Specialty (Exploited)"/>
      <sheetName val="Specialty"/>
      <sheetName val="XXInt Treatment Res A NOT USING"/>
      <sheetName val="Intensive Treatment Residence M"/>
      <sheetName val="ITR Aggressive old"/>
      <sheetName val="ITR Mental Health old"/>
      <sheetName val="TEMPLATE (7)"/>
      <sheetName val="TEMPLATE (8)"/>
    </sheetNames>
    <sheetDataSet>
      <sheetData sheetId="0" refreshError="1">
        <row r="4">
          <cell r="C4">
            <v>32198.400000000001</v>
          </cell>
        </row>
        <row r="30">
          <cell r="C30">
            <v>0.224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Calcs"/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Calcs"/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new CAF"/>
      <sheetName val="for pres"/>
      <sheetName val="Source"/>
      <sheetName val="Sheet1"/>
      <sheetName val="Sheet2"/>
      <sheetName val="Sheet3"/>
    </sheetNames>
    <sheetDataSet>
      <sheetData sheetId="0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Calcs3386&amp;3401"/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RawDataCalcs"/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ALP - models"/>
      <sheetName val="Model Budget ALP"/>
      <sheetName val="Fiscal Impact"/>
      <sheetName val="CAF Fall 2020"/>
      <sheetName val="CAF Spring 2018"/>
      <sheetName val="CAF Sp 2016"/>
      <sheetName val=" Contract Data"/>
      <sheetName val="Fiscal Impact Original"/>
      <sheetName val="FY22 Fiscal Impact"/>
    </sheetNames>
    <sheetDataSet>
      <sheetData sheetId="0">
        <row r="6">
          <cell r="C6">
            <v>32198.400000000001</v>
          </cell>
        </row>
        <row r="8">
          <cell r="C8">
            <v>41516.800000000003</v>
          </cell>
        </row>
      </sheetData>
      <sheetData sheetId="1" refreshError="1"/>
      <sheetData sheetId="2"/>
      <sheetData sheetId="3" refreshError="1"/>
      <sheetData sheetId="4">
        <row r="25">
          <cell r="CA25">
            <v>1.9959404600811814E-2</v>
          </cell>
        </row>
      </sheetData>
      <sheetData sheetId="5">
        <row r="27">
          <cell r="BQ27">
            <v>2.6804860614724868E-2</v>
          </cell>
        </row>
      </sheetData>
      <sheetData sheetId="6">
        <row r="27">
          <cell r="BD27">
            <v>3.1437553586738907E-2</v>
          </cell>
        </row>
      </sheetData>
      <sheetData sheetId="7">
        <row r="3">
          <cell r="O3" t="str">
            <v>Program Management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1"/>
  <sheetViews>
    <sheetView zoomScale="80" zoomScaleNormal="80" zoomScaleSheetLayoutView="85" workbookViewId="0">
      <selection activeCell="M27" sqref="M27"/>
    </sheetView>
  </sheetViews>
  <sheetFormatPr defaultColWidth="9.109375" defaultRowHeight="14.4"/>
  <cols>
    <col min="1" max="1" width="2.44140625" style="40" customWidth="1"/>
    <col min="2" max="2" width="2.6640625" style="40" customWidth="1"/>
    <col min="3" max="3" width="20.44140625" style="40" customWidth="1"/>
    <col min="4" max="4" width="16.44140625" style="40" customWidth="1"/>
    <col min="5" max="5" width="13.6640625" style="40" customWidth="1"/>
    <col min="6" max="6" width="16.109375" style="40" customWidth="1"/>
    <col min="7" max="7" width="2.6640625" style="40" customWidth="1"/>
    <col min="8" max="8" width="10.44140625" style="40" customWidth="1"/>
    <col min="9" max="9" width="3.6640625" style="40" customWidth="1"/>
    <col min="10" max="10" width="29.44140625" style="40" customWidth="1"/>
    <col min="11" max="11" width="11.44140625" style="40" hidden="1" customWidth="1"/>
    <col min="12" max="12" width="15.6640625" style="40" bestFit="1" customWidth="1"/>
    <col min="13" max="13" width="48.6640625" style="40" bestFit="1" customWidth="1"/>
    <col min="14" max="16384" width="9.109375" style="40"/>
  </cols>
  <sheetData>
    <row r="1" spans="2:13" ht="15" thickBot="1"/>
    <row r="2" spans="2:13" ht="15" thickBot="1">
      <c r="B2" s="357"/>
      <c r="C2" s="354"/>
      <c r="D2" s="354"/>
      <c r="E2" s="354"/>
      <c r="F2" s="354"/>
      <c r="G2" s="673"/>
      <c r="J2" s="3" t="s">
        <v>0</v>
      </c>
      <c r="K2" s="4"/>
      <c r="L2" s="4"/>
      <c r="M2" s="5"/>
    </row>
    <row r="3" spans="2:13" ht="15" thickBot="1">
      <c r="B3" s="29"/>
      <c r="C3" s="674" t="s">
        <v>1</v>
      </c>
      <c r="D3" s="675"/>
      <c r="E3" s="675"/>
      <c r="F3" s="676"/>
      <c r="G3" s="372"/>
      <c r="J3" s="362"/>
      <c r="K3" s="363" t="s">
        <v>2</v>
      </c>
      <c r="L3" s="363" t="s">
        <v>3</v>
      </c>
      <c r="M3" s="10" t="s">
        <v>4</v>
      </c>
    </row>
    <row r="4" spans="2:13">
      <c r="B4" s="29"/>
      <c r="C4" s="447"/>
      <c r="D4" s="677" t="s">
        <v>5</v>
      </c>
      <c r="E4" s="677" t="s">
        <v>6</v>
      </c>
      <c r="F4" s="358" t="s">
        <v>7</v>
      </c>
      <c r="G4" s="372"/>
      <c r="J4" s="370" t="s">
        <v>8</v>
      </c>
      <c r="K4" s="371"/>
      <c r="L4" s="371"/>
      <c r="M4" s="372"/>
    </row>
    <row r="5" spans="2:13">
      <c r="B5" s="29"/>
      <c r="C5" s="678" t="s">
        <v>9</v>
      </c>
      <c r="D5" s="365">
        <f>L5</f>
        <v>60470</v>
      </c>
      <c r="E5" s="679">
        <v>0.2</v>
      </c>
      <c r="F5" s="365">
        <f>D5*E5</f>
        <v>12094</v>
      </c>
      <c r="G5" s="372"/>
      <c r="H5" s="680"/>
      <c r="J5" s="15" t="s">
        <v>9</v>
      </c>
      <c r="K5" s="16" t="e">
        <f>#REF!</f>
        <v>#REF!</v>
      </c>
      <c r="L5" s="16">
        <v>60470</v>
      </c>
      <c r="M5" s="372" t="s">
        <v>10</v>
      </c>
    </row>
    <row r="6" spans="2:13" ht="13.35" customHeight="1">
      <c r="B6" s="29"/>
      <c r="C6" s="681" t="s">
        <v>11</v>
      </c>
      <c r="D6" s="682">
        <f>L6</f>
        <v>41516.800000000003</v>
      </c>
      <c r="E6" s="366">
        <v>0.75</v>
      </c>
      <c r="F6" s="682">
        <f>E6*D6</f>
        <v>31137.600000000002</v>
      </c>
      <c r="G6" s="372"/>
      <c r="H6" s="680"/>
      <c r="J6" s="15" t="s">
        <v>11</v>
      </c>
      <c r="K6" s="16"/>
      <c r="L6" s="16">
        <f>[1]Chart!C8</f>
        <v>41516.800000000003</v>
      </c>
      <c r="M6" s="372" t="s">
        <v>12</v>
      </c>
    </row>
    <row r="7" spans="2:13">
      <c r="B7" s="29"/>
      <c r="C7" s="683" t="str">
        <f>J7</f>
        <v xml:space="preserve">Direct Care </v>
      </c>
      <c r="D7" s="682">
        <f>L7</f>
        <v>32198.400000000001</v>
      </c>
      <c r="E7" s="366">
        <v>0.25</v>
      </c>
      <c r="F7" s="682">
        <f t="shared" ref="F7:F8" si="0">D7*E7</f>
        <v>8049.6</v>
      </c>
      <c r="G7" s="372"/>
      <c r="J7" s="15" t="s">
        <v>13</v>
      </c>
      <c r="K7" s="16" t="e">
        <f>#REF!</f>
        <v>#REF!</v>
      </c>
      <c r="L7" s="16">
        <f>[1]Chart!C6</f>
        <v>32198.400000000001</v>
      </c>
      <c r="M7" s="372" t="s">
        <v>12</v>
      </c>
    </row>
    <row r="8" spans="2:13">
      <c r="B8" s="29"/>
      <c r="C8" s="684" t="s">
        <v>14</v>
      </c>
      <c r="D8" s="685">
        <f>L8</f>
        <v>32198.400000000001</v>
      </c>
      <c r="E8" s="686">
        <v>0.1</v>
      </c>
      <c r="F8" s="685">
        <f t="shared" si="0"/>
        <v>3219.84</v>
      </c>
      <c r="G8" s="372"/>
      <c r="J8" s="15" t="s">
        <v>14</v>
      </c>
      <c r="K8" s="16" t="e">
        <f>#REF!</f>
        <v>#REF!</v>
      </c>
      <c r="L8" s="16">
        <f>[1]Chart!C6</f>
        <v>32198.400000000001</v>
      </c>
      <c r="M8" s="372" t="s">
        <v>12</v>
      </c>
    </row>
    <row r="9" spans="2:13">
      <c r="B9" s="29"/>
      <c r="C9" s="681"/>
      <c r="D9" s="682"/>
      <c r="E9" s="366"/>
      <c r="F9" s="682"/>
      <c r="G9" s="372"/>
      <c r="J9" s="687" t="s">
        <v>15</v>
      </c>
      <c r="K9" s="688"/>
      <c r="L9" s="688"/>
      <c r="M9" s="22"/>
    </row>
    <row r="10" spans="2:13">
      <c r="B10" s="29"/>
      <c r="C10" s="689" t="s">
        <v>16</v>
      </c>
      <c r="D10" s="689"/>
      <c r="E10" s="690">
        <f>SUM(E5:E8)</f>
        <v>1.3</v>
      </c>
      <c r="F10" s="691">
        <f>SUM(F5:F8)</f>
        <v>54501.040000000008</v>
      </c>
      <c r="G10" s="372"/>
      <c r="J10" s="15" t="s">
        <v>9</v>
      </c>
      <c r="K10" s="692" t="e">
        <f>#REF!</f>
        <v>#REF!</v>
      </c>
      <c r="L10" s="25" t="s">
        <v>17</v>
      </c>
      <c r="M10" s="372" t="s">
        <v>18</v>
      </c>
    </row>
    <row r="11" spans="2:13">
      <c r="B11" s="29"/>
      <c r="C11" s="447"/>
      <c r="D11" s="447"/>
      <c r="E11" s="447"/>
      <c r="F11" s="447"/>
      <c r="G11" s="372"/>
      <c r="J11" s="15" t="str">
        <f>J6</f>
        <v>Direct Care III</v>
      </c>
      <c r="K11" s="692"/>
      <c r="L11" s="25" t="s">
        <v>19</v>
      </c>
      <c r="M11" s="372" t="s">
        <v>18</v>
      </c>
    </row>
    <row r="12" spans="2:13">
      <c r="B12" s="29"/>
      <c r="C12" s="693" t="s">
        <v>20</v>
      </c>
      <c r="D12" s="447"/>
      <c r="E12" s="694">
        <f>L15</f>
        <v>0.224</v>
      </c>
      <c r="F12" s="695">
        <f>F10*E12</f>
        <v>12208.232960000001</v>
      </c>
      <c r="G12" s="372"/>
      <c r="J12" s="15" t="s">
        <v>13</v>
      </c>
      <c r="K12" s="692" t="e">
        <f>#REF!</f>
        <v>#REF!</v>
      </c>
      <c r="L12" s="25" t="s">
        <v>21</v>
      </c>
      <c r="M12" s="372" t="s">
        <v>18</v>
      </c>
    </row>
    <row r="13" spans="2:13">
      <c r="B13" s="29"/>
      <c r="C13" s="447" t="str">
        <f>J23</f>
        <v>PFMLA Trust Contribution</v>
      </c>
      <c r="D13" s="447"/>
      <c r="E13" s="696">
        <f>L23</f>
        <v>3.7000000000000002E-3</v>
      </c>
      <c r="F13" s="431">
        <f>F10*E13</f>
        <v>201.65384800000004</v>
      </c>
      <c r="G13" s="372"/>
      <c r="J13" s="15" t="s">
        <v>14</v>
      </c>
      <c r="K13" s="692" t="e">
        <f>#REF!</f>
        <v>#REF!</v>
      </c>
      <c r="L13" s="25" t="s">
        <v>22</v>
      </c>
      <c r="M13" s="372" t="s">
        <v>18</v>
      </c>
    </row>
    <row r="14" spans="2:13">
      <c r="B14" s="29"/>
      <c r="C14" s="689" t="s">
        <v>23</v>
      </c>
      <c r="D14" s="419"/>
      <c r="E14" s="419"/>
      <c r="F14" s="697">
        <f>F10+F12+F13</f>
        <v>66910.926808000004</v>
      </c>
      <c r="G14" s="372"/>
      <c r="J14" s="370" t="s">
        <v>24</v>
      </c>
      <c r="K14" s="698"/>
      <c r="L14" s="729"/>
      <c r="M14" s="22"/>
    </row>
    <row r="15" spans="2:13">
      <c r="B15" s="29"/>
      <c r="C15" s="681"/>
      <c r="D15" s="447"/>
      <c r="E15" s="447"/>
      <c r="F15" s="695"/>
      <c r="G15" s="372"/>
      <c r="J15" s="29" t="s">
        <v>25</v>
      </c>
      <c r="K15" s="30" t="e">
        <f>#REF!</f>
        <v>#REF!</v>
      </c>
      <c r="L15" s="30">
        <v>0.224</v>
      </c>
      <c r="M15" s="372" t="s">
        <v>26</v>
      </c>
    </row>
    <row r="16" spans="2:13">
      <c r="B16" s="29"/>
      <c r="C16" s="693" t="s">
        <v>27</v>
      </c>
      <c r="D16" s="447"/>
      <c r="E16" s="699">
        <f>L16</f>
        <v>6145.2760401991172</v>
      </c>
      <c r="F16" s="700">
        <f>E16*E10</f>
        <v>7988.8588522588525</v>
      </c>
      <c r="G16" s="372"/>
      <c r="J16" s="29" t="s">
        <v>27</v>
      </c>
      <c r="K16" s="32" t="e">
        <f>#REF!</f>
        <v>#REF!</v>
      </c>
      <c r="L16" s="32">
        <f>'[1]UFR Data 2019'!E5</f>
        <v>6145.2760401991172</v>
      </c>
      <c r="M16" s="372" t="s">
        <v>10</v>
      </c>
    </row>
    <row r="17" spans="1:32">
      <c r="B17" s="29"/>
      <c r="C17" s="693" t="s">
        <v>28</v>
      </c>
      <c r="D17" s="447"/>
      <c r="E17" s="699">
        <f>L17</f>
        <v>943.17322074788888</v>
      </c>
      <c r="F17" s="700">
        <f>E17*E10</f>
        <v>1226.1251869722555</v>
      </c>
      <c r="G17" s="372"/>
      <c r="J17" s="701" t="s">
        <v>28</v>
      </c>
      <c r="K17" s="702" t="e">
        <f>#REF!</f>
        <v>#REF!</v>
      </c>
      <c r="L17" s="702">
        <f>'[1]UFR Data 2019'!O5</f>
        <v>943.17322074788888</v>
      </c>
      <c r="M17" s="372" t="s">
        <v>10</v>
      </c>
    </row>
    <row r="18" spans="1:32">
      <c r="B18" s="29"/>
      <c r="C18" s="693" t="s">
        <v>29</v>
      </c>
      <c r="D18" s="447"/>
      <c r="E18" s="699">
        <f>L18</f>
        <v>40.566037735849058</v>
      </c>
      <c r="F18" s="700">
        <f>E18*E6</f>
        <v>30.424528301886795</v>
      </c>
      <c r="G18" s="372"/>
      <c r="J18" s="701" t="s">
        <v>29</v>
      </c>
      <c r="K18" s="702" t="e">
        <f>#REF!</f>
        <v>#REF!</v>
      </c>
      <c r="L18" s="702">
        <f>'[1]UFR Data 2019'!U5</f>
        <v>40.566037735849058</v>
      </c>
      <c r="M18" s="372" t="s">
        <v>10</v>
      </c>
    </row>
    <row r="19" spans="1:32">
      <c r="B19" s="29"/>
      <c r="C19" s="693" t="s">
        <v>30</v>
      </c>
      <c r="D19" s="447"/>
      <c r="E19" s="699">
        <f>L19</f>
        <v>315</v>
      </c>
      <c r="F19" s="700">
        <f>E19*15</f>
        <v>4725</v>
      </c>
      <c r="G19" s="372"/>
      <c r="J19" s="701" t="s">
        <v>30</v>
      </c>
      <c r="K19" s="702" t="e">
        <f>#REF!</f>
        <v>#REF!</v>
      </c>
      <c r="L19" s="702">
        <v>315</v>
      </c>
      <c r="M19" s="372" t="s">
        <v>31</v>
      </c>
    </row>
    <row r="20" spans="1:32">
      <c r="B20" s="29"/>
      <c r="C20" s="693" t="s">
        <v>32</v>
      </c>
      <c r="D20" s="447"/>
      <c r="E20" s="699">
        <f>L20</f>
        <v>1502.6805017103766</v>
      </c>
      <c r="F20" s="700">
        <f>E20*E10</f>
        <v>1953.4846522234895</v>
      </c>
      <c r="G20" s="372"/>
      <c r="J20" s="701" t="s">
        <v>32</v>
      </c>
      <c r="K20" s="702" t="e">
        <f>#REF!</f>
        <v>#REF!</v>
      </c>
      <c r="L20" s="730">
        <f>'[1]UFR Data 2019'!AK5</f>
        <v>1502.6805017103766</v>
      </c>
      <c r="M20" s="372" t="s">
        <v>10</v>
      </c>
    </row>
    <row r="21" spans="1:32" ht="15" thickBot="1">
      <c r="B21" s="29"/>
      <c r="C21" s="693"/>
      <c r="D21" s="447"/>
      <c r="E21" s="699"/>
      <c r="F21" s="700"/>
      <c r="G21" s="372"/>
      <c r="J21" s="29" t="s">
        <v>33</v>
      </c>
      <c r="K21" s="33" t="e">
        <f>#REF!</f>
        <v>#REF!</v>
      </c>
      <c r="L21" s="33">
        <v>0.12</v>
      </c>
      <c r="M21" s="703" t="s">
        <v>34</v>
      </c>
    </row>
    <row r="22" spans="1:32" ht="15" thickBot="1">
      <c r="B22" s="29"/>
      <c r="C22" s="689" t="s">
        <v>35</v>
      </c>
      <c r="D22" s="419"/>
      <c r="E22" s="419"/>
      <c r="F22" s="704">
        <f>SUM(F14:F21)</f>
        <v>82834.82002775649</v>
      </c>
      <c r="G22" s="372"/>
      <c r="J22" s="468" t="s">
        <v>36</v>
      </c>
      <c r="K22" s="432"/>
      <c r="L22" s="705">
        <f>'[1]CAF Fall 2020'!CA25</f>
        <v>1.9959404600811814E-2</v>
      </c>
      <c r="M22" s="706" t="s">
        <v>338</v>
      </c>
    </row>
    <row r="23" spans="1:32" ht="15" thickBot="1">
      <c r="B23" s="29"/>
      <c r="C23" s="707" t="s">
        <v>38</v>
      </c>
      <c r="D23" s="423"/>
      <c r="E23" s="462">
        <f>L21</f>
        <v>0.12</v>
      </c>
      <c r="F23" s="708">
        <f>F22*E23</f>
        <v>9940.1784033307777</v>
      </c>
      <c r="G23" s="372"/>
      <c r="J23" s="468" t="s">
        <v>39</v>
      </c>
      <c r="K23" s="709"/>
      <c r="L23" s="710">
        <v>3.7000000000000002E-3</v>
      </c>
      <c r="M23" s="433" t="s">
        <v>40</v>
      </c>
    </row>
    <row r="24" spans="1:32" ht="14.85" customHeight="1" thickTop="1">
      <c r="B24" s="29"/>
      <c r="C24" s="693" t="s">
        <v>41</v>
      </c>
      <c r="D24" s="693"/>
      <c r="E24" s="693"/>
      <c r="F24" s="711">
        <f>SUM(F22:F23)</f>
        <v>92774.998431087268</v>
      </c>
      <c r="G24" s="372"/>
    </row>
    <row r="25" spans="1:32" ht="14.85" customHeight="1" thickBot="1">
      <c r="B25" s="712"/>
      <c r="C25" s="713" t="str">
        <f>J22</f>
        <v>Rate review CAF FY22</v>
      </c>
      <c r="D25" s="714"/>
      <c r="E25" s="715">
        <f>L22</f>
        <v>1.9959404600811814E-2</v>
      </c>
      <c r="F25" s="716">
        <f>(F24-F10)*E25</f>
        <v>763.92542200072319</v>
      </c>
      <c r="G25" s="717"/>
    </row>
    <row r="26" spans="1:32" ht="14.85" customHeight="1" thickBot="1">
      <c r="B26" s="465"/>
      <c r="C26" s="718" t="s">
        <v>42</v>
      </c>
      <c r="D26" s="719"/>
      <c r="E26" s="720"/>
      <c r="F26" s="721">
        <f>F25+F24</f>
        <v>93538.923853087996</v>
      </c>
      <c r="G26" s="722"/>
    </row>
    <row r="27" spans="1:32" ht="14.1" customHeight="1" thickBot="1">
      <c r="B27" s="465"/>
      <c r="C27" s="723" t="s">
        <v>43</v>
      </c>
      <c r="D27" s="719"/>
      <c r="E27" s="720"/>
      <c r="F27" s="724">
        <f>F26/12</f>
        <v>7794.910321090666</v>
      </c>
      <c r="G27" s="722"/>
    </row>
    <row r="28" spans="1:32" s="46" customFormat="1">
      <c r="A28" s="40"/>
      <c r="B28" s="41"/>
      <c r="C28" s="42"/>
      <c r="D28" s="41"/>
      <c r="E28" s="43"/>
      <c r="F28" s="44"/>
      <c r="G28" s="41"/>
      <c r="H28" s="45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</row>
    <row r="29" spans="1:32" ht="15" thickBot="1"/>
    <row r="30" spans="1:32" ht="15" thickBot="1">
      <c r="B30" s="357"/>
      <c r="C30" s="354"/>
      <c r="D30" s="354"/>
      <c r="E30" s="354"/>
      <c r="F30" s="354"/>
      <c r="G30" s="673"/>
    </row>
    <row r="31" spans="1:32" ht="15" thickBot="1">
      <c r="B31" s="29"/>
      <c r="C31" s="674" t="s">
        <v>44</v>
      </c>
      <c r="D31" s="675"/>
      <c r="E31" s="675"/>
      <c r="F31" s="676"/>
      <c r="G31" s="372"/>
    </row>
    <row r="32" spans="1:32">
      <c r="B32" s="29"/>
      <c r="C32" s="447"/>
      <c r="D32" s="677" t="s">
        <v>5</v>
      </c>
      <c r="E32" s="677" t="s">
        <v>6</v>
      </c>
      <c r="F32" s="677" t="s">
        <v>7</v>
      </c>
      <c r="G32" s="372"/>
    </row>
    <row r="33" spans="2:7">
      <c r="B33" s="29"/>
      <c r="C33" s="678" t="s">
        <v>9</v>
      </c>
      <c r="D33" s="365">
        <f>L5</f>
        <v>60470</v>
      </c>
      <c r="E33" s="679">
        <v>0.4</v>
      </c>
      <c r="F33" s="365">
        <f>D33*E33</f>
        <v>24188</v>
      </c>
      <c r="G33" s="372"/>
    </row>
    <row r="34" spans="2:7" ht="13.2" customHeight="1">
      <c r="B34" s="29"/>
      <c r="C34" s="681" t="str">
        <f>C6</f>
        <v>Direct Care III</v>
      </c>
      <c r="D34" s="682">
        <f>L6</f>
        <v>41516.800000000003</v>
      </c>
      <c r="E34" s="366">
        <v>1.5</v>
      </c>
      <c r="F34" s="682">
        <f>E34*D34</f>
        <v>62275.200000000004</v>
      </c>
      <c r="G34" s="372"/>
    </row>
    <row r="35" spans="2:7" ht="18" customHeight="1">
      <c r="B35" s="29"/>
      <c r="C35" s="683" t="str">
        <f>J7</f>
        <v xml:space="preserve">Direct Care </v>
      </c>
      <c r="D35" s="682">
        <f>L7</f>
        <v>32198.400000000001</v>
      </c>
      <c r="E35" s="366">
        <v>0.5</v>
      </c>
      <c r="F35" s="682">
        <f>E35*D35</f>
        <v>16099.2</v>
      </c>
      <c r="G35" s="372"/>
    </row>
    <row r="36" spans="2:7">
      <c r="B36" s="29"/>
      <c r="C36" s="684" t="s">
        <v>14</v>
      </c>
      <c r="D36" s="685">
        <f>L8</f>
        <v>32198.400000000001</v>
      </c>
      <c r="E36" s="686">
        <v>0.2</v>
      </c>
      <c r="F36" s="685">
        <f t="shared" ref="F36" si="1">D36*E36</f>
        <v>6439.68</v>
      </c>
      <c r="G36" s="372"/>
    </row>
    <row r="37" spans="2:7">
      <c r="B37" s="29"/>
      <c r="C37" s="681"/>
      <c r="D37" s="682"/>
      <c r="E37" s="366"/>
      <c r="F37" s="682"/>
      <c r="G37" s="372"/>
    </row>
    <row r="38" spans="2:7">
      <c r="B38" s="29"/>
      <c r="C38" s="689" t="s">
        <v>16</v>
      </c>
      <c r="D38" s="689"/>
      <c r="E38" s="690">
        <f>SUM(E33:E36)</f>
        <v>2.6</v>
      </c>
      <c r="F38" s="691">
        <f>SUM(F33:F36)</f>
        <v>109002.08000000002</v>
      </c>
      <c r="G38" s="372"/>
    </row>
    <row r="39" spans="2:7">
      <c r="B39" s="29"/>
      <c r="C39" s="447"/>
      <c r="D39" s="447"/>
      <c r="E39" s="447"/>
      <c r="F39" s="447"/>
      <c r="G39" s="372"/>
    </row>
    <row r="40" spans="2:7">
      <c r="B40" s="29"/>
      <c r="C40" s="693" t="s">
        <v>20</v>
      </c>
      <c r="D40" s="447"/>
      <c r="E40" s="694">
        <f>L15</f>
        <v>0.224</v>
      </c>
      <c r="F40" s="695">
        <f>F38*E40</f>
        <v>24416.465920000002</v>
      </c>
      <c r="G40" s="372"/>
    </row>
    <row r="41" spans="2:7">
      <c r="B41" s="29"/>
      <c r="C41" s="447" t="str">
        <f>C13</f>
        <v>PFMLA Trust Contribution</v>
      </c>
      <c r="D41" s="447"/>
      <c r="E41" s="694">
        <f>L23</f>
        <v>3.7000000000000002E-3</v>
      </c>
      <c r="F41" s="431">
        <f>F38*E41</f>
        <v>403.30769600000008</v>
      </c>
      <c r="G41" s="372"/>
    </row>
    <row r="42" spans="2:7">
      <c r="B42" s="29"/>
      <c r="C42" s="689" t="s">
        <v>23</v>
      </c>
      <c r="D42" s="419"/>
      <c r="E42" s="419"/>
      <c r="F42" s="697">
        <f>F38+F40+F41</f>
        <v>133821.85361600001</v>
      </c>
      <c r="G42" s="372"/>
    </row>
    <row r="43" spans="2:7">
      <c r="B43" s="29"/>
      <c r="C43" s="681"/>
      <c r="D43" s="447"/>
      <c r="E43" s="447"/>
      <c r="F43" s="695"/>
      <c r="G43" s="372"/>
    </row>
    <row r="44" spans="2:7">
      <c r="B44" s="29"/>
      <c r="C44" s="693" t="s">
        <v>27</v>
      </c>
      <c r="D44" s="447"/>
      <c r="E44" s="699">
        <f>L16</f>
        <v>6145.2760401991172</v>
      </c>
      <c r="F44" s="700">
        <f>E44*E38</f>
        <v>15977.717704517705</v>
      </c>
      <c r="G44" s="372"/>
    </row>
    <row r="45" spans="2:7">
      <c r="B45" s="29"/>
      <c r="C45" s="693" t="s">
        <v>28</v>
      </c>
      <c r="D45" s="447"/>
      <c r="E45" s="699">
        <f>L17</f>
        <v>943.17322074788888</v>
      </c>
      <c r="F45" s="700">
        <f>E45*E38</f>
        <v>2452.250373944511</v>
      </c>
      <c r="G45" s="372"/>
    </row>
    <row r="46" spans="2:7">
      <c r="B46" s="29"/>
      <c r="C46" s="693" t="s">
        <v>29</v>
      </c>
      <c r="D46" s="447"/>
      <c r="E46" s="699">
        <f>L18</f>
        <v>40.566037735849058</v>
      </c>
      <c r="F46" s="700">
        <f>E46*E34</f>
        <v>60.84905660377359</v>
      </c>
      <c r="G46" s="372"/>
    </row>
    <row r="47" spans="2:7">
      <c r="B47" s="29"/>
      <c r="C47" s="693" t="s">
        <v>30</v>
      </c>
      <c r="D47" s="447"/>
      <c r="E47" s="699">
        <f>L19</f>
        <v>315</v>
      </c>
      <c r="F47" s="700">
        <f>E47*30</f>
        <v>9450</v>
      </c>
      <c r="G47" s="372"/>
    </row>
    <row r="48" spans="2:7">
      <c r="B48" s="29"/>
      <c r="C48" s="693" t="s">
        <v>32</v>
      </c>
      <c r="D48" s="447"/>
      <c r="E48" s="699">
        <f>L20</f>
        <v>1502.6805017103766</v>
      </c>
      <c r="F48" s="700">
        <f>E48*E38</f>
        <v>3906.9693044469791</v>
      </c>
      <c r="G48" s="372"/>
    </row>
    <row r="49" spans="1:33">
      <c r="B49" s="29"/>
      <c r="C49" s="693"/>
      <c r="D49" s="447"/>
      <c r="E49" s="699"/>
      <c r="F49" s="700"/>
      <c r="G49" s="372"/>
    </row>
    <row r="50" spans="1:33">
      <c r="B50" s="29"/>
      <c r="C50" s="689" t="s">
        <v>35</v>
      </c>
      <c r="D50" s="419"/>
      <c r="E50" s="419"/>
      <c r="F50" s="704">
        <f>SUM(F42:F49)</f>
        <v>165669.64005551298</v>
      </c>
      <c r="G50" s="372"/>
    </row>
    <row r="51" spans="1:33" ht="15" thickBot="1">
      <c r="B51" s="29"/>
      <c r="C51" s="707" t="s">
        <v>38</v>
      </c>
      <c r="D51" s="423"/>
      <c r="E51" s="462">
        <f>L21</f>
        <v>0.12</v>
      </c>
      <c r="F51" s="708">
        <f>E51*F50</f>
        <v>19880.356806661555</v>
      </c>
      <c r="G51" s="372"/>
    </row>
    <row r="52" spans="1:33" ht="15" thickTop="1">
      <c r="B52" s="29"/>
      <c r="C52" s="693" t="s">
        <v>41</v>
      </c>
      <c r="D52" s="693"/>
      <c r="E52" s="693"/>
      <c r="F52" s="711">
        <f>SUM(F50:F51)</f>
        <v>185549.99686217454</v>
      </c>
      <c r="G52" s="372"/>
    </row>
    <row r="53" spans="1:33" ht="15" thickBot="1">
      <c r="B53" s="725"/>
      <c r="C53" s="726" t="str">
        <f>C25</f>
        <v>Rate review CAF FY22</v>
      </c>
      <c r="D53" s="419"/>
      <c r="E53" s="727">
        <f>L22</f>
        <v>1.9959404600811814E-2</v>
      </c>
      <c r="F53" s="704">
        <f>(F52-F38)*E53</f>
        <v>1527.8508440014464</v>
      </c>
      <c r="G53" s="728"/>
    </row>
    <row r="54" spans="1:33" ht="15" thickBot="1">
      <c r="B54" s="465"/>
      <c r="C54" s="718" t="s">
        <v>42</v>
      </c>
      <c r="D54" s="719"/>
      <c r="E54" s="720"/>
      <c r="F54" s="721">
        <f>F52+F53</f>
        <v>187077.84770617599</v>
      </c>
      <c r="G54" s="722"/>
    </row>
    <row r="55" spans="1:33" ht="15" thickBot="1">
      <c r="B55" s="465"/>
      <c r="C55" s="723" t="s">
        <v>43</v>
      </c>
      <c r="D55" s="719"/>
      <c r="E55" s="720"/>
      <c r="F55" s="724">
        <f>F54/12</f>
        <v>15589.820642181332</v>
      </c>
      <c r="G55" s="722"/>
    </row>
    <row r="56" spans="1:33" s="46" customFormat="1">
      <c r="A56" s="40"/>
      <c r="B56" s="40"/>
      <c r="C56" s="40"/>
      <c r="D56" s="40"/>
      <c r="E56" s="43"/>
      <c r="F56" s="44"/>
      <c r="G56" s="41"/>
      <c r="H56" s="45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</row>
    <row r="57" spans="1:33">
      <c r="F57" s="41"/>
    </row>
    <row r="58" spans="1:33">
      <c r="F58" s="41"/>
    </row>
    <row r="59" spans="1:33">
      <c r="F59" s="41"/>
    </row>
    <row r="60" spans="1:33">
      <c r="F60" s="41"/>
    </row>
    <row r="61" spans="1:33">
      <c r="F61" s="41"/>
    </row>
    <row r="62" spans="1:33">
      <c r="F62" s="41"/>
    </row>
    <row r="63" spans="1:33">
      <c r="F63" s="41"/>
    </row>
    <row r="64" spans="1:33">
      <c r="F64" s="41"/>
    </row>
    <row r="65" spans="6:6">
      <c r="F65" s="41"/>
    </row>
    <row r="66" spans="6:6">
      <c r="F66" s="41"/>
    </row>
    <row r="67" spans="6:6">
      <c r="F67" s="41"/>
    </row>
    <row r="68" spans="6:6">
      <c r="F68" s="41"/>
    </row>
    <row r="69" spans="6:6">
      <c r="F69" s="41"/>
    </row>
    <row r="70" spans="6:6">
      <c r="F70" s="41"/>
    </row>
    <row r="71" spans="6:6">
      <c r="F71" s="41"/>
    </row>
    <row r="72" spans="6:6">
      <c r="F72" s="41"/>
    </row>
    <row r="73" spans="6:6">
      <c r="F73" s="41"/>
    </row>
    <row r="74" spans="6:6">
      <c r="F74" s="41"/>
    </row>
    <row r="75" spans="6:6">
      <c r="F75" s="41"/>
    </row>
    <row r="76" spans="6:6">
      <c r="F76" s="41"/>
    </row>
    <row r="77" spans="6:6">
      <c r="F77" s="41"/>
    </row>
    <row r="78" spans="6:6">
      <c r="F78" s="41"/>
    </row>
    <row r="79" spans="6:6">
      <c r="F79" s="41"/>
    </row>
    <row r="80" spans="6:6">
      <c r="F80" s="41"/>
    </row>
    <row r="81" spans="6:6">
      <c r="F81" s="41"/>
    </row>
    <row r="82" spans="6:6">
      <c r="F82" s="41"/>
    </row>
    <row r="83" spans="6:6">
      <c r="F83" s="41"/>
    </row>
    <row r="84" spans="6:6">
      <c r="F84" s="41"/>
    </row>
    <row r="85" spans="6:6">
      <c r="F85" s="41"/>
    </row>
    <row r="86" spans="6:6">
      <c r="F86" s="41"/>
    </row>
    <row r="87" spans="6:6">
      <c r="F87" s="41"/>
    </row>
    <row r="88" spans="6:6">
      <c r="F88" s="41"/>
    </row>
    <row r="89" spans="6:6">
      <c r="F89" s="41"/>
    </row>
    <row r="90" spans="6:6">
      <c r="F90" s="41"/>
    </row>
    <row r="91" spans="6:6">
      <c r="F91" s="41"/>
    </row>
    <row r="92" spans="6:6">
      <c r="F92" s="41"/>
    </row>
    <row r="93" spans="6:6">
      <c r="F93" s="41"/>
    </row>
    <row r="94" spans="6:6">
      <c r="F94" s="41"/>
    </row>
    <row r="95" spans="6:6">
      <c r="F95" s="41"/>
    </row>
    <row r="96" spans="6:6">
      <c r="F96" s="41"/>
    </row>
    <row r="97" spans="6:6">
      <c r="F97" s="41"/>
    </row>
    <row r="98" spans="6:6">
      <c r="F98" s="41"/>
    </row>
    <row r="99" spans="6:6">
      <c r="F99" s="41"/>
    </row>
    <row r="100" spans="6:6">
      <c r="F100" s="41"/>
    </row>
    <row r="101" spans="6:6">
      <c r="F101" s="41"/>
    </row>
    <row r="102" spans="6:6">
      <c r="F102" s="41"/>
    </row>
    <row r="103" spans="6:6">
      <c r="F103" s="41"/>
    </row>
    <row r="104" spans="6:6">
      <c r="F104" s="41"/>
    </row>
    <row r="105" spans="6:6">
      <c r="F105" s="41"/>
    </row>
    <row r="106" spans="6:6">
      <c r="F106" s="41"/>
    </row>
    <row r="107" spans="6:6">
      <c r="F107" s="41"/>
    </row>
    <row r="108" spans="6:6">
      <c r="F108" s="41"/>
    </row>
    <row r="109" spans="6:6">
      <c r="F109" s="41"/>
    </row>
    <row r="110" spans="6:6">
      <c r="F110" s="41"/>
    </row>
    <row r="111" spans="6:6">
      <c r="F111" s="41"/>
    </row>
    <row r="112" spans="6:6">
      <c r="F112" s="41"/>
    </row>
    <row r="113" spans="6:6">
      <c r="F113" s="41"/>
    </row>
    <row r="114" spans="6:6">
      <c r="F114" s="41"/>
    </row>
    <row r="115" spans="6:6">
      <c r="F115" s="41"/>
    </row>
    <row r="116" spans="6:6">
      <c r="F116" s="41"/>
    </row>
    <row r="117" spans="6:6">
      <c r="F117" s="41"/>
    </row>
    <row r="118" spans="6:6">
      <c r="F118" s="41"/>
    </row>
    <row r="119" spans="6:6">
      <c r="F119" s="41"/>
    </row>
    <row r="120" spans="6:6">
      <c r="F120" s="41"/>
    </row>
    <row r="121" spans="6:6">
      <c r="F121" s="41"/>
    </row>
  </sheetData>
  <mergeCells count="5">
    <mergeCell ref="C2:F2"/>
    <mergeCell ref="J2:M2"/>
    <mergeCell ref="C3:F3"/>
    <mergeCell ref="C30:F30"/>
    <mergeCell ref="C31:F31"/>
  </mergeCells>
  <pageMargins left="0.7" right="0.7" top="0.75" bottom="0.75" header="0.3" footer="0.3"/>
  <pageSetup scale="57" orientation="landscape" r:id="rId1"/>
  <headerFooter>
    <oddHeader>&amp;L&amp;D&amp;CYoung Parents Support&amp;RRate Recommendation - FINAL</oddHeader>
    <oddFooter>&amp;R&amp;P of &amp;N</oddFooter>
  </headerFooter>
  <colBreaks count="1" manualBreakCount="1">
    <brk id="8" min="1" max="59" man="1"/>
  </colBreaks>
  <ignoredErrors>
    <ignoredError sqref="F6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6"/>
  <sheetViews>
    <sheetView topLeftCell="BF1" workbookViewId="0">
      <selection activeCell="BM19" sqref="BM19"/>
    </sheetView>
  </sheetViews>
  <sheetFormatPr defaultColWidth="8.6640625" defaultRowHeight="13.2"/>
  <cols>
    <col min="1" max="1" width="38.44140625" style="50" customWidth="1"/>
    <col min="2" max="2" width="12.6640625" style="55" customWidth="1"/>
    <col min="3" max="62" width="7.6640625" style="50" customWidth="1"/>
    <col min="63" max="63" width="3.6640625" style="50" customWidth="1"/>
    <col min="64" max="74" width="7.6640625" style="50" customWidth="1"/>
    <col min="75" max="75" width="8.44140625" style="50" customWidth="1"/>
    <col min="76" max="82" width="7.6640625" style="50" customWidth="1"/>
    <col min="83" max="256" width="8.6640625" style="50"/>
    <col min="257" max="257" width="38.44140625" style="50" customWidth="1"/>
    <col min="258" max="258" width="12.6640625" style="50" customWidth="1"/>
    <col min="259" max="318" width="7.6640625" style="50" customWidth="1"/>
    <col min="319" max="319" width="3.6640625" style="50" customWidth="1"/>
    <col min="320" max="330" width="7.6640625" style="50" customWidth="1"/>
    <col min="331" max="331" width="8.44140625" style="50" customWidth="1"/>
    <col min="332" max="338" width="7.6640625" style="50" customWidth="1"/>
    <col min="339" max="512" width="8.6640625" style="50"/>
    <col min="513" max="513" width="38.44140625" style="50" customWidth="1"/>
    <col min="514" max="514" width="12.6640625" style="50" customWidth="1"/>
    <col min="515" max="574" width="7.6640625" style="50" customWidth="1"/>
    <col min="575" max="575" width="3.6640625" style="50" customWidth="1"/>
    <col min="576" max="586" width="7.6640625" style="50" customWidth="1"/>
    <col min="587" max="587" width="8.44140625" style="50" customWidth="1"/>
    <col min="588" max="594" width="7.6640625" style="50" customWidth="1"/>
    <col min="595" max="768" width="8.6640625" style="50"/>
    <col min="769" max="769" width="38.44140625" style="50" customWidth="1"/>
    <col min="770" max="770" width="12.6640625" style="50" customWidth="1"/>
    <col min="771" max="830" width="7.6640625" style="50" customWidth="1"/>
    <col min="831" max="831" width="3.6640625" style="50" customWidth="1"/>
    <col min="832" max="842" width="7.6640625" style="50" customWidth="1"/>
    <col min="843" max="843" width="8.44140625" style="50" customWidth="1"/>
    <col min="844" max="850" width="7.6640625" style="50" customWidth="1"/>
    <col min="851" max="1024" width="8.6640625" style="50"/>
    <col min="1025" max="1025" width="38.44140625" style="50" customWidth="1"/>
    <col min="1026" max="1026" width="12.6640625" style="50" customWidth="1"/>
    <col min="1027" max="1086" width="7.6640625" style="50" customWidth="1"/>
    <col min="1087" max="1087" width="3.6640625" style="50" customWidth="1"/>
    <col min="1088" max="1098" width="7.6640625" style="50" customWidth="1"/>
    <col min="1099" max="1099" width="8.44140625" style="50" customWidth="1"/>
    <col min="1100" max="1106" width="7.6640625" style="50" customWidth="1"/>
    <col min="1107" max="1280" width="8.6640625" style="50"/>
    <col min="1281" max="1281" width="38.44140625" style="50" customWidth="1"/>
    <col min="1282" max="1282" width="12.6640625" style="50" customWidth="1"/>
    <col min="1283" max="1342" width="7.6640625" style="50" customWidth="1"/>
    <col min="1343" max="1343" width="3.6640625" style="50" customWidth="1"/>
    <col min="1344" max="1354" width="7.6640625" style="50" customWidth="1"/>
    <col min="1355" max="1355" width="8.44140625" style="50" customWidth="1"/>
    <col min="1356" max="1362" width="7.6640625" style="50" customWidth="1"/>
    <col min="1363" max="1536" width="8.6640625" style="50"/>
    <col min="1537" max="1537" width="38.44140625" style="50" customWidth="1"/>
    <col min="1538" max="1538" width="12.6640625" style="50" customWidth="1"/>
    <col min="1539" max="1598" width="7.6640625" style="50" customWidth="1"/>
    <col min="1599" max="1599" width="3.6640625" style="50" customWidth="1"/>
    <col min="1600" max="1610" width="7.6640625" style="50" customWidth="1"/>
    <col min="1611" max="1611" width="8.44140625" style="50" customWidth="1"/>
    <col min="1612" max="1618" width="7.6640625" style="50" customWidth="1"/>
    <col min="1619" max="1792" width="8.6640625" style="50"/>
    <col min="1793" max="1793" width="38.44140625" style="50" customWidth="1"/>
    <col min="1794" max="1794" width="12.6640625" style="50" customWidth="1"/>
    <col min="1795" max="1854" width="7.6640625" style="50" customWidth="1"/>
    <col min="1855" max="1855" width="3.6640625" style="50" customWidth="1"/>
    <col min="1856" max="1866" width="7.6640625" style="50" customWidth="1"/>
    <col min="1867" max="1867" width="8.44140625" style="50" customWidth="1"/>
    <col min="1868" max="1874" width="7.6640625" style="50" customWidth="1"/>
    <col min="1875" max="2048" width="8.6640625" style="50"/>
    <col min="2049" max="2049" width="38.44140625" style="50" customWidth="1"/>
    <col min="2050" max="2050" width="12.6640625" style="50" customWidth="1"/>
    <col min="2051" max="2110" width="7.6640625" style="50" customWidth="1"/>
    <col min="2111" max="2111" width="3.6640625" style="50" customWidth="1"/>
    <col min="2112" max="2122" width="7.6640625" style="50" customWidth="1"/>
    <col min="2123" max="2123" width="8.44140625" style="50" customWidth="1"/>
    <col min="2124" max="2130" width="7.6640625" style="50" customWidth="1"/>
    <col min="2131" max="2304" width="8.6640625" style="50"/>
    <col min="2305" max="2305" width="38.44140625" style="50" customWidth="1"/>
    <col min="2306" max="2306" width="12.6640625" style="50" customWidth="1"/>
    <col min="2307" max="2366" width="7.6640625" style="50" customWidth="1"/>
    <col min="2367" max="2367" width="3.6640625" style="50" customWidth="1"/>
    <col min="2368" max="2378" width="7.6640625" style="50" customWidth="1"/>
    <col min="2379" max="2379" width="8.44140625" style="50" customWidth="1"/>
    <col min="2380" max="2386" width="7.6640625" style="50" customWidth="1"/>
    <col min="2387" max="2560" width="8.6640625" style="50"/>
    <col min="2561" max="2561" width="38.44140625" style="50" customWidth="1"/>
    <col min="2562" max="2562" width="12.6640625" style="50" customWidth="1"/>
    <col min="2563" max="2622" width="7.6640625" style="50" customWidth="1"/>
    <col min="2623" max="2623" width="3.6640625" style="50" customWidth="1"/>
    <col min="2624" max="2634" width="7.6640625" style="50" customWidth="1"/>
    <col min="2635" max="2635" width="8.44140625" style="50" customWidth="1"/>
    <col min="2636" max="2642" width="7.6640625" style="50" customWidth="1"/>
    <col min="2643" max="2816" width="8.6640625" style="50"/>
    <col min="2817" max="2817" width="38.44140625" style="50" customWidth="1"/>
    <col min="2818" max="2818" width="12.6640625" style="50" customWidth="1"/>
    <col min="2819" max="2878" width="7.6640625" style="50" customWidth="1"/>
    <col min="2879" max="2879" width="3.6640625" style="50" customWidth="1"/>
    <col min="2880" max="2890" width="7.6640625" style="50" customWidth="1"/>
    <col min="2891" max="2891" width="8.44140625" style="50" customWidth="1"/>
    <col min="2892" max="2898" width="7.6640625" style="50" customWidth="1"/>
    <col min="2899" max="3072" width="8.6640625" style="50"/>
    <col min="3073" max="3073" width="38.44140625" style="50" customWidth="1"/>
    <col min="3074" max="3074" width="12.6640625" style="50" customWidth="1"/>
    <col min="3075" max="3134" width="7.6640625" style="50" customWidth="1"/>
    <col min="3135" max="3135" width="3.6640625" style="50" customWidth="1"/>
    <col min="3136" max="3146" width="7.6640625" style="50" customWidth="1"/>
    <col min="3147" max="3147" width="8.44140625" style="50" customWidth="1"/>
    <col min="3148" max="3154" width="7.6640625" style="50" customWidth="1"/>
    <col min="3155" max="3328" width="8.6640625" style="50"/>
    <col min="3329" max="3329" width="38.44140625" style="50" customWidth="1"/>
    <col min="3330" max="3330" width="12.6640625" style="50" customWidth="1"/>
    <col min="3331" max="3390" width="7.6640625" style="50" customWidth="1"/>
    <col min="3391" max="3391" width="3.6640625" style="50" customWidth="1"/>
    <col min="3392" max="3402" width="7.6640625" style="50" customWidth="1"/>
    <col min="3403" max="3403" width="8.44140625" style="50" customWidth="1"/>
    <col min="3404" max="3410" width="7.6640625" style="50" customWidth="1"/>
    <col min="3411" max="3584" width="8.6640625" style="50"/>
    <col min="3585" max="3585" width="38.44140625" style="50" customWidth="1"/>
    <col min="3586" max="3586" width="12.6640625" style="50" customWidth="1"/>
    <col min="3587" max="3646" width="7.6640625" style="50" customWidth="1"/>
    <col min="3647" max="3647" width="3.6640625" style="50" customWidth="1"/>
    <col min="3648" max="3658" width="7.6640625" style="50" customWidth="1"/>
    <col min="3659" max="3659" width="8.44140625" style="50" customWidth="1"/>
    <col min="3660" max="3666" width="7.6640625" style="50" customWidth="1"/>
    <col min="3667" max="3840" width="8.6640625" style="50"/>
    <col min="3841" max="3841" width="38.44140625" style="50" customWidth="1"/>
    <col min="3842" max="3842" width="12.6640625" style="50" customWidth="1"/>
    <col min="3843" max="3902" width="7.6640625" style="50" customWidth="1"/>
    <col min="3903" max="3903" width="3.6640625" style="50" customWidth="1"/>
    <col min="3904" max="3914" width="7.6640625" style="50" customWidth="1"/>
    <col min="3915" max="3915" width="8.44140625" style="50" customWidth="1"/>
    <col min="3916" max="3922" width="7.6640625" style="50" customWidth="1"/>
    <col min="3923" max="4096" width="8.6640625" style="50"/>
    <col min="4097" max="4097" width="38.44140625" style="50" customWidth="1"/>
    <col min="4098" max="4098" width="12.6640625" style="50" customWidth="1"/>
    <col min="4099" max="4158" width="7.6640625" style="50" customWidth="1"/>
    <col min="4159" max="4159" width="3.6640625" style="50" customWidth="1"/>
    <col min="4160" max="4170" width="7.6640625" style="50" customWidth="1"/>
    <col min="4171" max="4171" width="8.44140625" style="50" customWidth="1"/>
    <col min="4172" max="4178" width="7.6640625" style="50" customWidth="1"/>
    <col min="4179" max="4352" width="8.6640625" style="50"/>
    <col min="4353" max="4353" width="38.44140625" style="50" customWidth="1"/>
    <col min="4354" max="4354" width="12.6640625" style="50" customWidth="1"/>
    <col min="4355" max="4414" width="7.6640625" style="50" customWidth="1"/>
    <col min="4415" max="4415" width="3.6640625" style="50" customWidth="1"/>
    <col min="4416" max="4426" width="7.6640625" style="50" customWidth="1"/>
    <col min="4427" max="4427" width="8.44140625" style="50" customWidth="1"/>
    <col min="4428" max="4434" width="7.6640625" style="50" customWidth="1"/>
    <col min="4435" max="4608" width="8.6640625" style="50"/>
    <col min="4609" max="4609" width="38.44140625" style="50" customWidth="1"/>
    <col min="4610" max="4610" width="12.6640625" style="50" customWidth="1"/>
    <col min="4611" max="4670" width="7.6640625" style="50" customWidth="1"/>
    <col min="4671" max="4671" width="3.6640625" style="50" customWidth="1"/>
    <col min="4672" max="4682" width="7.6640625" style="50" customWidth="1"/>
    <col min="4683" max="4683" width="8.44140625" style="50" customWidth="1"/>
    <col min="4684" max="4690" width="7.6640625" style="50" customWidth="1"/>
    <col min="4691" max="4864" width="8.6640625" style="50"/>
    <col min="4865" max="4865" width="38.44140625" style="50" customWidth="1"/>
    <col min="4866" max="4866" width="12.6640625" style="50" customWidth="1"/>
    <col min="4867" max="4926" width="7.6640625" style="50" customWidth="1"/>
    <col min="4927" max="4927" width="3.6640625" style="50" customWidth="1"/>
    <col min="4928" max="4938" width="7.6640625" style="50" customWidth="1"/>
    <col min="4939" max="4939" width="8.44140625" style="50" customWidth="1"/>
    <col min="4940" max="4946" width="7.6640625" style="50" customWidth="1"/>
    <col min="4947" max="5120" width="8.6640625" style="50"/>
    <col min="5121" max="5121" width="38.44140625" style="50" customWidth="1"/>
    <col min="5122" max="5122" width="12.6640625" style="50" customWidth="1"/>
    <col min="5123" max="5182" width="7.6640625" style="50" customWidth="1"/>
    <col min="5183" max="5183" width="3.6640625" style="50" customWidth="1"/>
    <col min="5184" max="5194" width="7.6640625" style="50" customWidth="1"/>
    <col min="5195" max="5195" width="8.44140625" style="50" customWidth="1"/>
    <col min="5196" max="5202" width="7.6640625" style="50" customWidth="1"/>
    <col min="5203" max="5376" width="8.6640625" style="50"/>
    <col min="5377" max="5377" width="38.44140625" style="50" customWidth="1"/>
    <col min="5378" max="5378" width="12.6640625" style="50" customWidth="1"/>
    <col min="5379" max="5438" width="7.6640625" style="50" customWidth="1"/>
    <col min="5439" max="5439" width="3.6640625" style="50" customWidth="1"/>
    <col min="5440" max="5450" width="7.6640625" style="50" customWidth="1"/>
    <col min="5451" max="5451" width="8.44140625" style="50" customWidth="1"/>
    <col min="5452" max="5458" width="7.6640625" style="50" customWidth="1"/>
    <col min="5459" max="5632" width="8.6640625" style="50"/>
    <col min="5633" max="5633" width="38.44140625" style="50" customWidth="1"/>
    <col min="5634" max="5634" width="12.6640625" style="50" customWidth="1"/>
    <col min="5635" max="5694" width="7.6640625" style="50" customWidth="1"/>
    <col min="5695" max="5695" width="3.6640625" style="50" customWidth="1"/>
    <col min="5696" max="5706" width="7.6640625" style="50" customWidth="1"/>
    <col min="5707" max="5707" width="8.44140625" style="50" customWidth="1"/>
    <col min="5708" max="5714" width="7.6640625" style="50" customWidth="1"/>
    <col min="5715" max="5888" width="8.6640625" style="50"/>
    <col min="5889" max="5889" width="38.44140625" style="50" customWidth="1"/>
    <col min="5890" max="5890" width="12.6640625" style="50" customWidth="1"/>
    <col min="5891" max="5950" width="7.6640625" style="50" customWidth="1"/>
    <col min="5951" max="5951" width="3.6640625" style="50" customWidth="1"/>
    <col min="5952" max="5962" width="7.6640625" style="50" customWidth="1"/>
    <col min="5963" max="5963" width="8.44140625" style="50" customWidth="1"/>
    <col min="5964" max="5970" width="7.6640625" style="50" customWidth="1"/>
    <col min="5971" max="6144" width="8.6640625" style="50"/>
    <col min="6145" max="6145" width="38.44140625" style="50" customWidth="1"/>
    <col min="6146" max="6146" width="12.6640625" style="50" customWidth="1"/>
    <col min="6147" max="6206" width="7.6640625" style="50" customWidth="1"/>
    <col min="6207" max="6207" width="3.6640625" style="50" customWidth="1"/>
    <col min="6208" max="6218" width="7.6640625" style="50" customWidth="1"/>
    <col min="6219" max="6219" width="8.44140625" style="50" customWidth="1"/>
    <col min="6220" max="6226" width="7.6640625" style="50" customWidth="1"/>
    <col min="6227" max="6400" width="8.6640625" style="50"/>
    <col min="6401" max="6401" width="38.44140625" style="50" customWidth="1"/>
    <col min="6402" max="6402" width="12.6640625" style="50" customWidth="1"/>
    <col min="6403" max="6462" width="7.6640625" style="50" customWidth="1"/>
    <col min="6463" max="6463" width="3.6640625" style="50" customWidth="1"/>
    <col min="6464" max="6474" width="7.6640625" style="50" customWidth="1"/>
    <col min="6475" max="6475" width="8.44140625" style="50" customWidth="1"/>
    <col min="6476" max="6482" width="7.6640625" style="50" customWidth="1"/>
    <col min="6483" max="6656" width="8.6640625" style="50"/>
    <col min="6657" max="6657" width="38.44140625" style="50" customWidth="1"/>
    <col min="6658" max="6658" width="12.6640625" style="50" customWidth="1"/>
    <col min="6659" max="6718" width="7.6640625" style="50" customWidth="1"/>
    <col min="6719" max="6719" width="3.6640625" style="50" customWidth="1"/>
    <col min="6720" max="6730" width="7.6640625" style="50" customWidth="1"/>
    <col min="6731" max="6731" width="8.44140625" style="50" customWidth="1"/>
    <col min="6732" max="6738" width="7.6640625" style="50" customWidth="1"/>
    <col min="6739" max="6912" width="8.6640625" style="50"/>
    <col min="6913" max="6913" width="38.44140625" style="50" customWidth="1"/>
    <col min="6914" max="6914" width="12.6640625" style="50" customWidth="1"/>
    <col min="6915" max="6974" width="7.6640625" style="50" customWidth="1"/>
    <col min="6975" max="6975" width="3.6640625" style="50" customWidth="1"/>
    <col min="6976" max="6986" width="7.6640625" style="50" customWidth="1"/>
    <col min="6987" max="6987" width="8.44140625" style="50" customWidth="1"/>
    <col min="6988" max="6994" width="7.6640625" style="50" customWidth="1"/>
    <col min="6995" max="7168" width="8.6640625" style="50"/>
    <col min="7169" max="7169" width="38.44140625" style="50" customWidth="1"/>
    <col min="7170" max="7170" width="12.6640625" style="50" customWidth="1"/>
    <col min="7171" max="7230" width="7.6640625" style="50" customWidth="1"/>
    <col min="7231" max="7231" width="3.6640625" style="50" customWidth="1"/>
    <col min="7232" max="7242" width="7.6640625" style="50" customWidth="1"/>
    <col min="7243" max="7243" width="8.44140625" style="50" customWidth="1"/>
    <col min="7244" max="7250" width="7.6640625" style="50" customWidth="1"/>
    <col min="7251" max="7424" width="8.6640625" style="50"/>
    <col min="7425" max="7425" width="38.44140625" style="50" customWidth="1"/>
    <col min="7426" max="7426" width="12.6640625" style="50" customWidth="1"/>
    <col min="7427" max="7486" width="7.6640625" style="50" customWidth="1"/>
    <col min="7487" max="7487" width="3.6640625" style="50" customWidth="1"/>
    <col min="7488" max="7498" width="7.6640625" style="50" customWidth="1"/>
    <col min="7499" max="7499" width="8.44140625" style="50" customWidth="1"/>
    <col min="7500" max="7506" width="7.6640625" style="50" customWidth="1"/>
    <col min="7507" max="7680" width="8.6640625" style="50"/>
    <col min="7681" max="7681" width="38.44140625" style="50" customWidth="1"/>
    <col min="7682" max="7682" width="12.6640625" style="50" customWidth="1"/>
    <col min="7683" max="7742" width="7.6640625" style="50" customWidth="1"/>
    <col min="7743" max="7743" width="3.6640625" style="50" customWidth="1"/>
    <col min="7744" max="7754" width="7.6640625" style="50" customWidth="1"/>
    <col min="7755" max="7755" width="8.44140625" style="50" customWidth="1"/>
    <col min="7756" max="7762" width="7.6640625" style="50" customWidth="1"/>
    <col min="7763" max="7936" width="8.6640625" style="50"/>
    <col min="7937" max="7937" width="38.44140625" style="50" customWidth="1"/>
    <col min="7938" max="7938" width="12.6640625" style="50" customWidth="1"/>
    <col min="7939" max="7998" width="7.6640625" style="50" customWidth="1"/>
    <col min="7999" max="7999" width="3.6640625" style="50" customWidth="1"/>
    <col min="8000" max="8010" width="7.6640625" style="50" customWidth="1"/>
    <col min="8011" max="8011" width="8.44140625" style="50" customWidth="1"/>
    <col min="8012" max="8018" width="7.6640625" style="50" customWidth="1"/>
    <col min="8019" max="8192" width="8.6640625" style="50"/>
    <col min="8193" max="8193" width="38.44140625" style="50" customWidth="1"/>
    <col min="8194" max="8194" width="12.6640625" style="50" customWidth="1"/>
    <col min="8195" max="8254" width="7.6640625" style="50" customWidth="1"/>
    <col min="8255" max="8255" width="3.6640625" style="50" customWidth="1"/>
    <col min="8256" max="8266" width="7.6640625" style="50" customWidth="1"/>
    <col min="8267" max="8267" width="8.44140625" style="50" customWidth="1"/>
    <col min="8268" max="8274" width="7.6640625" style="50" customWidth="1"/>
    <col min="8275" max="8448" width="8.6640625" style="50"/>
    <col min="8449" max="8449" width="38.44140625" style="50" customWidth="1"/>
    <col min="8450" max="8450" width="12.6640625" style="50" customWidth="1"/>
    <col min="8451" max="8510" width="7.6640625" style="50" customWidth="1"/>
    <col min="8511" max="8511" width="3.6640625" style="50" customWidth="1"/>
    <col min="8512" max="8522" width="7.6640625" style="50" customWidth="1"/>
    <col min="8523" max="8523" width="8.44140625" style="50" customWidth="1"/>
    <col min="8524" max="8530" width="7.6640625" style="50" customWidth="1"/>
    <col min="8531" max="8704" width="8.6640625" style="50"/>
    <col min="8705" max="8705" width="38.44140625" style="50" customWidth="1"/>
    <col min="8706" max="8706" width="12.6640625" style="50" customWidth="1"/>
    <col min="8707" max="8766" width="7.6640625" style="50" customWidth="1"/>
    <col min="8767" max="8767" width="3.6640625" style="50" customWidth="1"/>
    <col min="8768" max="8778" width="7.6640625" style="50" customWidth="1"/>
    <col min="8779" max="8779" width="8.44140625" style="50" customWidth="1"/>
    <col min="8780" max="8786" width="7.6640625" style="50" customWidth="1"/>
    <col min="8787" max="8960" width="8.6640625" style="50"/>
    <col min="8961" max="8961" width="38.44140625" style="50" customWidth="1"/>
    <col min="8962" max="8962" width="12.6640625" style="50" customWidth="1"/>
    <col min="8963" max="9022" width="7.6640625" style="50" customWidth="1"/>
    <col min="9023" max="9023" width="3.6640625" style="50" customWidth="1"/>
    <col min="9024" max="9034" width="7.6640625" style="50" customWidth="1"/>
    <col min="9035" max="9035" width="8.44140625" style="50" customWidth="1"/>
    <col min="9036" max="9042" width="7.6640625" style="50" customWidth="1"/>
    <col min="9043" max="9216" width="8.6640625" style="50"/>
    <col min="9217" max="9217" width="38.44140625" style="50" customWidth="1"/>
    <col min="9218" max="9218" width="12.6640625" style="50" customWidth="1"/>
    <col min="9219" max="9278" width="7.6640625" style="50" customWidth="1"/>
    <col min="9279" max="9279" width="3.6640625" style="50" customWidth="1"/>
    <col min="9280" max="9290" width="7.6640625" style="50" customWidth="1"/>
    <col min="9291" max="9291" width="8.44140625" style="50" customWidth="1"/>
    <col min="9292" max="9298" width="7.6640625" style="50" customWidth="1"/>
    <col min="9299" max="9472" width="8.6640625" style="50"/>
    <col min="9473" max="9473" width="38.44140625" style="50" customWidth="1"/>
    <col min="9474" max="9474" width="12.6640625" style="50" customWidth="1"/>
    <col min="9475" max="9534" width="7.6640625" style="50" customWidth="1"/>
    <col min="9535" max="9535" width="3.6640625" style="50" customWidth="1"/>
    <col min="9536" max="9546" width="7.6640625" style="50" customWidth="1"/>
    <col min="9547" max="9547" width="8.44140625" style="50" customWidth="1"/>
    <col min="9548" max="9554" width="7.6640625" style="50" customWidth="1"/>
    <col min="9555" max="9728" width="8.6640625" style="50"/>
    <col min="9729" max="9729" width="38.44140625" style="50" customWidth="1"/>
    <col min="9730" max="9730" width="12.6640625" style="50" customWidth="1"/>
    <col min="9731" max="9790" width="7.6640625" style="50" customWidth="1"/>
    <col min="9791" max="9791" width="3.6640625" style="50" customWidth="1"/>
    <col min="9792" max="9802" width="7.6640625" style="50" customWidth="1"/>
    <col min="9803" max="9803" width="8.44140625" style="50" customWidth="1"/>
    <col min="9804" max="9810" width="7.6640625" style="50" customWidth="1"/>
    <col min="9811" max="9984" width="8.6640625" style="50"/>
    <col min="9985" max="9985" width="38.44140625" style="50" customWidth="1"/>
    <col min="9986" max="9986" width="12.6640625" style="50" customWidth="1"/>
    <col min="9987" max="10046" width="7.6640625" style="50" customWidth="1"/>
    <col min="10047" max="10047" width="3.6640625" style="50" customWidth="1"/>
    <col min="10048" max="10058" width="7.6640625" style="50" customWidth="1"/>
    <col min="10059" max="10059" width="8.44140625" style="50" customWidth="1"/>
    <col min="10060" max="10066" width="7.6640625" style="50" customWidth="1"/>
    <col min="10067" max="10240" width="8.6640625" style="50"/>
    <col min="10241" max="10241" width="38.44140625" style="50" customWidth="1"/>
    <col min="10242" max="10242" width="12.6640625" style="50" customWidth="1"/>
    <col min="10243" max="10302" width="7.6640625" style="50" customWidth="1"/>
    <col min="10303" max="10303" width="3.6640625" style="50" customWidth="1"/>
    <col min="10304" max="10314" width="7.6640625" style="50" customWidth="1"/>
    <col min="10315" max="10315" width="8.44140625" style="50" customWidth="1"/>
    <col min="10316" max="10322" width="7.6640625" style="50" customWidth="1"/>
    <col min="10323" max="10496" width="8.6640625" style="50"/>
    <col min="10497" max="10497" width="38.44140625" style="50" customWidth="1"/>
    <col min="10498" max="10498" width="12.6640625" style="50" customWidth="1"/>
    <col min="10499" max="10558" width="7.6640625" style="50" customWidth="1"/>
    <col min="10559" max="10559" width="3.6640625" style="50" customWidth="1"/>
    <col min="10560" max="10570" width="7.6640625" style="50" customWidth="1"/>
    <col min="10571" max="10571" width="8.44140625" style="50" customWidth="1"/>
    <col min="10572" max="10578" width="7.6640625" style="50" customWidth="1"/>
    <col min="10579" max="10752" width="8.6640625" style="50"/>
    <col min="10753" max="10753" width="38.44140625" style="50" customWidth="1"/>
    <col min="10754" max="10754" width="12.6640625" style="50" customWidth="1"/>
    <col min="10755" max="10814" width="7.6640625" style="50" customWidth="1"/>
    <col min="10815" max="10815" width="3.6640625" style="50" customWidth="1"/>
    <col min="10816" max="10826" width="7.6640625" style="50" customWidth="1"/>
    <col min="10827" max="10827" width="8.44140625" style="50" customWidth="1"/>
    <col min="10828" max="10834" width="7.6640625" style="50" customWidth="1"/>
    <col min="10835" max="11008" width="8.6640625" style="50"/>
    <col min="11009" max="11009" width="38.44140625" style="50" customWidth="1"/>
    <col min="11010" max="11010" width="12.6640625" style="50" customWidth="1"/>
    <col min="11011" max="11070" width="7.6640625" style="50" customWidth="1"/>
    <col min="11071" max="11071" width="3.6640625" style="50" customWidth="1"/>
    <col min="11072" max="11082" width="7.6640625" style="50" customWidth="1"/>
    <col min="11083" max="11083" width="8.44140625" style="50" customWidth="1"/>
    <col min="11084" max="11090" width="7.6640625" style="50" customWidth="1"/>
    <col min="11091" max="11264" width="8.6640625" style="50"/>
    <col min="11265" max="11265" width="38.44140625" style="50" customWidth="1"/>
    <col min="11266" max="11266" width="12.6640625" style="50" customWidth="1"/>
    <col min="11267" max="11326" width="7.6640625" style="50" customWidth="1"/>
    <col min="11327" max="11327" width="3.6640625" style="50" customWidth="1"/>
    <col min="11328" max="11338" width="7.6640625" style="50" customWidth="1"/>
    <col min="11339" max="11339" width="8.44140625" style="50" customWidth="1"/>
    <col min="11340" max="11346" width="7.6640625" style="50" customWidth="1"/>
    <col min="11347" max="11520" width="8.6640625" style="50"/>
    <col min="11521" max="11521" width="38.44140625" style="50" customWidth="1"/>
    <col min="11522" max="11522" width="12.6640625" style="50" customWidth="1"/>
    <col min="11523" max="11582" width="7.6640625" style="50" customWidth="1"/>
    <col min="11583" max="11583" width="3.6640625" style="50" customWidth="1"/>
    <col min="11584" max="11594" width="7.6640625" style="50" customWidth="1"/>
    <col min="11595" max="11595" width="8.44140625" style="50" customWidth="1"/>
    <col min="11596" max="11602" width="7.6640625" style="50" customWidth="1"/>
    <col min="11603" max="11776" width="8.6640625" style="50"/>
    <col min="11777" max="11777" width="38.44140625" style="50" customWidth="1"/>
    <col min="11778" max="11778" width="12.6640625" style="50" customWidth="1"/>
    <col min="11779" max="11838" width="7.6640625" style="50" customWidth="1"/>
    <col min="11839" max="11839" width="3.6640625" style="50" customWidth="1"/>
    <col min="11840" max="11850" width="7.6640625" style="50" customWidth="1"/>
    <col min="11851" max="11851" width="8.44140625" style="50" customWidth="1"/>
    <col min="11852" max="11858" width="7.6640625" style="50" customWidth="1"/>
    <col min="11859" max="12032" width="8.6640625" style="50"/>
    <col min="12033" max="12033" width="38.44140625" style="50" customWidth="1"/>
    <col min="12034" max="12034" width="12.6640625" style="50" customWidth="1"/>
    <col min="12035" max="12094" width="7.6640625" style="50" customWidth="1"/>
    <col min="12095" max="12095" width="3.6640625" style="50" customWidth="1"/>
    <col min="12096" max="12106" width="7.6640625" style="50" customWidth="1"/>
    <col min="12107" max="12107" width="8.44140625" style="50" customWidth="1"/>
    <col min="12108" max="12114" width="7.6640625" style="50" customWidth="1"/>
    <col min="12115" max="12288" width="8.6640625" style="50"/>
    <col min="12289" max="12289" width="38.44140625" style="50" customWidth="1"/>
    <col min="12290" max="12290" width="12.6640625" style="50" customWidth="1"/>
    <col min="12291" max="12350" width="7.6640625" style="50" customWidth="1"/>
    <col min="12351" max="12351" width="3.6640625" style="50" customWidth="1"/>
    <col min="12352" max="12362" width="7.6640625" style="50" customWidth="1"/>
    <col min="12363" max="12363" width="8.44140625" style="50" customWidth="1"/>
    <col min="12364" max="12370" width="7.6640625" style="50" customWidth="1"/>
    <col min="12371" max="12544" width="8.6640625" style="50"/>
    <col min="12545" max="12545" width="38.44140625" style="50" customWidth="1"/>
    <col min="12546" max="12546" width="12.6640625" style="50" customWidth="1"/>
    <col min="12547" max="12606" width="7.6640625" style="50" customWidth="1"/>
    <col min="12607" max="12607" width="3.6640625" style="50" customWidth="1"/>
    <col min="12608" max="12618" width="7.6640625" style="50" customWidth="1"/>
    <col min="12619" max="12619" width="8.44140625" style="50" customWidth="1"/>
    <col min="12620" max="12626" width="7.6640625" style="50" customWidth="1"/>
    <col min="12627" max="12800" width="8.6640625" style="50"/>
    <col min="12801" max="12801" width="38.44140625" style="50" customWidth="1"/>
    <col min="12802" max="12802" width="12.6640625" style="50" customWidth="1"/>
    <col min="12803" max="12862" width="7.6640625" style="50" customWidth="1"/>
    <col min="12863" max="12863" width="3.6640625" style="50" customWidth="1"/>
    <col min="12864" max="12874" width="7.6640625" style="50" customWidth="1"/>
    <col min="12875" max="12875" width="8.44140625" style="50" customWidth="1"/>
    <col min="12876" max="12882" width="7.6640625" style="50" customWidth="1"/>
    <col min="12883" max="13056" width="8.6640625" style="50"/>
    <col min="13057" max="13057" width="38.44140625" style="50" customWidth="1"/>
    <col min="13058" max="13058" width="12.6640625" style="50" customWidth="1"/>
    <col min="13059" max="13118" width="7.6640625" style="50" customWidth="1"/>
    <col min="13119" max="13119" width="3.6640625" style="50" customWidth="1"/>
    <col min="13120" max="13130" width="7.6640625" style="50" customWidth="1"/>
    <col min="13131" max="13131" width="8.44140625" style="50" customWidth="1"/>
    <col min="13132" max="13138" width="7.6640625" style="50" customWidth="1"/>
    <col min="13139" max="13312" width="8.6640625" style="50"/>
    <col min="13313" max="13313" width="38.44140625" style="50" customWidth="1"/>
    <col min="13314" max="13314" width="12.6640625" style="50" customWidth="1"/>
    <col min="13315" max="13374" width="7.6640625" style="50" customWidth="1"/>
    <col min="13375" max="13375" width="3.6640625" style="50" customWidth="1"/>
    <col min="13376" max="13386" width="7.6640625" style="50" customWidth="1"/>
    <col min="13387" max="13387" width="8.44140625" style="50" customWidth="1"/>
    <col min="13388" max="13394" width="7.6640625" style="50" customWidth="1"/>
    <col min="13395" max="13568" width="8.6640625" style="50"/>
    <col min="13569" max="13569" width="38.44140625" style="50" customWidth="1"/>
    <col min="13570" max="13570" width="12.6640625" style="50" customWidth="1"/>
    <col min="13571" max="13630" width="7.6640625" style="50" customWidth="1"/>
    <col min="13631" max="13631" width="3.6640625" style="50" customWidth="1"/>
    <col min="13632" max="13642" width="7.6640625" style="50" customWidth="1"/>
    <col min="13643" max="13643" width="8.44140625" style="50" customWidth="1"/>
    <col min="13644" max="13650" width="7.6640625" style="50" customWidth="1"/>
    <col min="13651" max="13824" width="8.6640625" style="50"/>
    <col min="13825" max="13825" width="38.44140625" style="50" customWidth="1"/>
    <col min="13826" max="13826" width="12.6640625" style="50" customWidth="1"/>
    <col min="13827" max="13886" width="7.6640625" style="50" customWidth="1"/>
    <col min="13887" max="13887" width="3.6640625" style="50" customWidth="1"/>
    <col min="13888" max="13898" width="7.6640625" style="50" customWidth="1"/>
    <col min="13899" max="13899" width="8.44140625" style="50" customWidth="1"/>
    <col min="13900" max="13906" width="7.6640625" style="50" customWidth="1"/>
    <col min="13907" max="14080" width="8.6640625" style="50"/>
    <col min="14081" max="14081" width="38.44140625" style="50" customWidth="1"/>
    <col min="14082" max="14082" width="12.6640625" style="50" customWidth="1"/>
    <col min="14083" max="14142" width="7.6640625" style="50" customWidth="1"/>
    <col min="14143" max="14143" width="3.6640625" style="50" customWidth="1"/>
    <col min="14144" max="14154" width="7.6640625" style="50" customWidth="1"/>
    <col min="14155" max="14155" width="8.44140625" style="50" customWidth="1"/>
    <col min="14156" max="14162" width="7.6640625" style="50" customWidth="1"/>
    <col min="14163" max="14336" width="8.6640625" style="50"/>
    <col min="14337" max="14337" width="38.44140625" style="50" customWidth="1"/>
    <col min="14338" max="14338" width="12.6640625" style="50" customWidth="1"/>
    <col min="14339" max="14398" width="7.6640625" style="50" customWidth="1"/>
    <col min="14399" max="14399" width="3.6640625" style="50" customWidth="1"/>
    <col min="14400" max="14410" width="7.6640625" style="50" customWidth="1"/>
    <col min="14411" max="14411" width="8.44140625" style="50" customWidth="1"/>
    <col min="14412" max="14418" width="7.6640625" style="50" customWidth="1"/>
    <col min="14419" max="14592" width="8.6640625" style="50"/>
    <col min="14593" max="14593" width="38.44140625" style="50" customWidth="1"/>
    <col min="14594" max="14594" width="12.6640625" style="50" customWidth="1"/>
    <col min="14595" max="14654" width="7.6640625" style="50" customWidth="1"/>
    <col min="14655" max="14655" width="3.6640625" style="50" customWidth="1"/>
    <col min="14656" max="14666" width="7.6640625" style="50" customWidth="1"/>
    <col min="14667" max="14667" width="8.44140625" style="50" customWidth="1"/>
    <col min="14668" max="14674" width="7.6640625" style="50" customWidth="1"/>
    <col min="14675" max="14848" width="8.6640625" style="50"/>
    <col min="14849" max="14849" width="38.44140625" style="50" customWidth="1"/>
    <col min="14850" max="14850" width="12.6640625" style="50" customWidth="1"/>
    <col min="14851" max="14910" width="7.6640625" style="50" customWidth="1"/>
    <col min="14911" max="14911" width="3.6640625" style="50" customWidth="1"/>
    <col min="14912" max="14922" width="7.6640625" style="50" customWidth="1"/>
    <col min="14923" max="14923" width="8.44140625" style="50" customWidth="1"/>
    <col min="14924" max="14930" width="7.6640625" style="50" customWidth="1"/>
    <col min="14931" max="15104" width="8.6640625" style="50"/>
    <col min="15105" max="15105" width="38.44140625" style="50" customWidth="1"/>
    <col min="15106" max="15106" width="12.6640625" style="50" customWidth="1"/>
    <col min="15107" max="15166" width="7.6640625" style="50" customWidth="1"/>
    <col min="15167" max="15167" width="3.6640625" style="50" customWidth="1"/>
    <col min="15168" max="15178" width="7.6640625" style="50" customWidth="1"/>
    <col min="15179" max="15179" width="8.44140625" style="50" customWidth="1"/>
    <col min="15180" max="15186" width="7.6640625" style="50" customWidth="1"/>
    <col min="15187" max="15360" width="8.6640625" style="50"/>
    <col min="15361" max="15361" width="38.44140625" style="50" customWidth="1"/>
    <col min="15362" max="15362" width="12.6640625" style="50" customWidth="1"/>
    <col min="15363" max="15422" width="7.6640625" style="50" customWidth="1"/>
    <col min="15423" max="15423" width="3.6640625" style="50" customWidth="1"/>
    <col min="15424" max="15434" width="7.6640625" style="50" customWidth="1"/>
    <col min="15435" max="15435" width="8.44140625" style="50" customWidth="1"/>
    <col min="15436" max="15442" width="7.6640625" style="50" customWidth="1"/>
    <col min="15443" max="15616" width="8.6640625" style="50"/>
    <col min="15617" max="15617" width="38.44140625" style="50" customWidth="1"/>
    <col min="15618" max="15618" width="12.6640625" style="50" customWidth="1"/>
    <col min="15619" max="15678" width="7.6640625" style="50" customWidth="1"/>
    <col min="15679" max="15679" width="3.6640625" style="50" customWidth="1"/>
    <col min="15680" max="15690" width="7.6640625" style="50" customWidth="1"/>
    <col min="15691" max="15691" width="8.44140625" style="50" customWidth="1"/>
    <col min="15692" max="15698" width="7.6640625" style="50" customWidth="1"/>
    <col min="15699" max="15872" width="8.6640625" style="50"/>
    <col min="15873" max="15873" width="38.44140625" style="50" customWidth="1"/>
    <col min="15874" max="15874" width="12.6640625" style="50" customWidth="1"/>
    <col min="15875" max="15934" width="7.6640625" style="50" customWidth="1"/>
    <col min="15935" max="15935" width="3.6640625" style="50" customWidth="1"/>
    <col min="15936" max="15946" width="7.6640625" style="50" customWidth="1"/>
    <col min="15947" max="15947" width="8.44140625" style="50" customWidth="1"/>
    <col min="15948" max="15954" width="7.6640625" style="50" customWidth="1"/>
    <col min="15955" max="16128" width="8.6640625" style="50"/>
    <col min="16129" max="16129" width="38.44140625" style="50" customWidth="1"/>
    <col min="16130" max="16130" width="12.6640625" style="50" customWidth="1"/>
    <col min="16131" max="16190" width="7.6640625" style="50" customWidth="1"/>
    <col min="16191" max="16191" width="3.6640625" style="50" customWidth="1"/>
    <col min="16192" max="16202" width="7.6640625" style="50" customWidth="1"/>
    <col min="16203" max="16203" width="8.44140625" style="50" customWidth="1"/>
    <col min="16204" max="16210" width="7.6640625" style="50" customWidth="1"/>
    <col min="16211" max="16384" width="8.6640625" style="50"/>
  </cols>
  <sheetData>
    <row r="1" spans="1:87" ht="17.399999999999999">
      <c r="A1" s="48" t="s">
        <v>45</v>
      </c>
      <c r="B1" s="49"/>
    </row>
    <row r="2" spans="1:87" ht="15.6">
      <c r="A2" s="51" t="s">
        <v>46</v>
      </c>
      <c r="B2" s="52"/>
    </row>
    <row r="3" spans="1:87" ht="14.4" thickBot="1">
      <c r="A3" s="53" t="s">
        <v>47</v>
      </c>
      <c r="B3" s="54"/>
    </row>
    <row r="6" spans="1:87">
      <c r="AW6" s="56" t="s">
        <v>48</v>
      </c>
      <c r="AX6" s="57" t="s">
        <v>48</v>
      </c>
      <c r="AY6" s="57" t="s">
        <v>48</v>
      </c>
      <c r="AZ6" s="57" t="s">
        <v>48</v>
      </c>
      <c r="BA6" s="58" t="s">
        <v>49</v>
      </c>
      <c r="BB6" s="58" t="s">
        <v>49</v>
      </c>
      <c r="BC6" s="58" t="s">
        <v>49</v>
      </c>
      <c r="BD6" s="58" t="s">
        <v>49</v>
      </c>
      <c r="BE6" s="59" t="s">
        <v>50</v>
      </c>
      <c r="BF6" s="59" t="s">
        <v>50</v>
      </c>
      <c r="BG6" s="59" t="s">
        <v>50</v>
      </c>
      <c r="BH6" s="59" t="s">
        <v>50</v>
      </c>
      <c r="BI6" s="60" t="s">
        <v>51</v>
      </c>
      <c r="BJ6" s="60" t="s">
        <v>51</v>
      </c>
      <c r="BK6" s="60" t="s">
        <v>51</v>
      </c>
      <c r="BL6" s="60" t="s">
        <v>51</v>
      </c>
      <c r="BM6" s="61" t="s">
        <v>52</v>
      </c>
      <c r="BN6" s="61" t="s">
        <v>52</v>
      </c>
      <c r="BO6" s="61" t="s">
        <v>52</v>
      </c>
      <c r="BP6" s="61" t="s">
        <v>52</v>
      </c>
      <c r="BQ6" s="62" t="s">
        <v>53</v>
      </c>
      <c r="BR6" s="62" t="s">
        <v>53</v>
      </c>
      <c r="BS6" s="62" t="s">
        <v>53</v>
      </c>
      <c r="BT6" s="62" t="s">
        <v>53</v>
      </c>
      <c r="BU6" s="63" t="s">
        <v>54</v>
      </c>
      <c r="BV6" s="63" t="s">
        <v>54</v>
      </c>
      <c r="BW6" s="63" t="s">
        <v>54</v>
      </c>
      <c r="BX6" s="63" t="s">
        <v>54</v>
      </c>
      <c r="BY6" s="64" t="s">
        <v>55</v>
      </c>
      <c r="BZ6" s="64" t="s">
        <v>55</v>
      </c>
      <c r="CA6" s="64" t="s">
        <v>56</v>
      </c>
      <c r="CB6" s="64" t="s">
        <v>55</v>
      </c>
    </row>
    <row r="7" spans="1:87" s="55" customFormat="1">
      <c r="B7" s="55" t="s">
        <v>57</v>
      </c>
      <c r="C7" s="65" t="s">
        <v>58</v>
      </c>
      <c r="D7" s="65" t="s">
        <v>59</v>
      </c>
      <c r="E7" s="65" t="s">
        <v>60</v>
      </c>
      <c r="F7" s="65" t="s">
        <v>61</v>
      </c>
      <c r="G7" s="65" t="s">
        <v>62</v>
      </c>
      <c r="H7" s="65" t="s">
        <v>63</v>
      </c>
      <c r="I7" s="65" t="s">
        <v>64</v>
      </c>
      <c r="J7" s="65" t="s">
        <v>65</v>
      </c>
      <c r="K7" s="65" t="s">
        <v>66</v>
      </c>
      <c r="L7" s="65" t="s">
        <v>67</v>
      </c>
      <c r="M7" s="65" t="s">
        <v>68</v>
      </c>
      <c r="N7" s="65" t="s">
        <v>69</v>
      </c>
      <c r="O7" s="65" t="s">
        <v>70</v>
      </c>
      <c r="P7" s="65" t="s">
        <v>71</v>
      </c>
      <c r="Q7" s="65" t="s">
        <v>72</v>
      </c>
      <c r="R7" s="65" t="s">
        <v>73</v>
      </c>
      <c r="S7" s="65" t="s">
        <v>74</v>
      </c>
      <c r="T7" s="65" t="s">
        <v>75</v>
      </c>
      <c r="U7" s="65" t="s">
        <v>76</v>
      </c>
      <c r="V7" s="65" t="s">
        <v>77</v>
      </c>
      <c r="W7" s="65" t="s">
        <v>78</v>
      </c>
      <c r="X7" s="65" t="s">
        <v>79</v>
      </c>
      <c r="Y7" s="65" t="s">
        <v>80</v>
      </c>
      <c r="Z7" s="65" t="s">
        <v>81</v>
      </c>
      <c r="AA7" s="65" t="s">
        <v>82</v>
      </c>
      <c r="AB7" s="65" t="s">
        <v>83</v>
      </c>
      <c r="AC7" s="65" t="s">
        <v>84</v>
      </c>
      <c r="AD7" s="65" t="s">
        <v>85</v>
      </c>
      <c r="AE7" s="65" t="s">
        <v>86</v>
      </c>
      <c r="AF7" s="65" t="s">
        <v>87</v>
      </c>
      <c r="AG7" s="65" t="s">
        <v>88</v>
      </c>
      <c r="AH7" s="65" t="s">
        <v>89</v>
      </c>
      <c r="AI7" s="65" t="s">
        <v>90</v>
      </c>
      <c r="AJ7" s="65" t="s">
        <v>91</v>
      </c>
      <c r="AK7" s="65" t="s">
        <v>92</v>
      </c>
      <c r="AL7" s="65" t="s">
        <v>93</v>
      </c>
      <c r="AM7" s="65" t="s">
        <v>94</v>
      </c>
      <c r="AN7" s="65" t="s">
        <v>95</v>
      </c>
      <c r="AO7" s="65" t="s">
        <v>96</v>
      </c>
      <c r="AP7" s="65" t="s">
        <v>97</v>
      </c>
      <c r="AQ7" s="65" t="s">
        <v>98</v>
      </c>
      <c r="AR7" s="65" t="s">
        <v>99</v>
      </c>
      <c r="AS7" s="65" t="s">
        <v>100</v>
      </c>
      <c r="AT7" s="65" t="s">
        <v>101</v>
      </c>
      <c r="AU7" s="55" t="s">
        <v>102</v>
      </c>
      <c r="AV7" s="55" t="s">
        <v>103</v>
      </c>
      <c r="AW7" s="55" t="s">
        <v>104</v>
      </c>
      <c r="AX7" s="55" t="s">
        <v>105</v>
      </c>
      <c r="AY7" s="55" t="s">
        <v>106</v>
      </c>
      <c r="AZ7" s="55" t="s">
        <v>107</v>
      </c>
      <c r="BA7" s="55" t="s">
        <v>108</v>
      </c>
      <c r="BB7" s="55" t="s">
        <v>109</v>
      </c>
      <c r="BC7" s="55" t="s">
        <v>110</v>
      </c>
      <c r="BD7" s="55" t="s">
        <v>111</v>
      </c>
      <c r="BE7" s="55" t="s">
        <v>112</v>
      </c>
      <c r="BF7" s="55" t="s">
        <v>113</v>
      </c>
      <c r="BG7" s="55" t="s">
        <v>114</v>
      </c>
      <c r="BH7" s="55" t="s">
        <v>115</v>
      </c>
      <c r="BI7" s="55" t="s">
        <v>116</v>
      </c>
      <c r="BJ7" s="55" t="s">
        <v>117</v>
      </c>
      <c r="BK7" s="55" t="s">
        <v>118</v>
      </c>
      <c r="BL7" s="55" t="s">
        <v>119</v>
      </c>
      <c r="BM7" s="55" t="s">
        <v>120</v>
      </c>
      <c r="BN7" s="55" t="s">
        <v>121</v>
      </c>
      <c r="BO7" s="55" t="s">
        <v>122</v>
      </c>
      <c r="BP7" s="55" t="s">
        <v>123</v>
      </c>
      <c r="BQ7" s="55" t="s">
        <v>124</v>
      </c>
      <c r="BR7" s="55" t="s">
        <v>125</v>
      </c>
      <c r="BS7" s="55" t="s">
        <v>126</v>
      </c>
      <c r="BT7" s="55" t="s">
        <v>127</v>
      </c>
      <c r="BU7" s="55" t="s">
        <v>128</v>
      </c>
      <c r="BV7" s="55" t="s">
        <v>129</v>
      </c>
      <c r="BW7" s="55" t="s">
        <v>130</v>
      </c>
      <c r="BX7" s="55" t="s">
        <v>131</v>
      </c>
      <c r="BY7" s="55" t="s">
        <v>132</v>
      </c>
      <c r="BZ7" s="55" t="s">
        <v>133</v>
      </c>
      <c r="CA7" s="55" t="s">
        <v>134</v>
      </c>
      <c r="CB7" s="55" t="s">
        <v>135</v>
      </c>
      <c r="CC7" s="55" t="s">
        <v>136</v>
      </c>
      <c r="CD7" s="55" t="s">
        <v>137</v>
      </c>
      <c r="CE7" s="55" t="s">
        <v>138</v>
      </c>
      <c r="CF7" s="55" t="s">
        <v>139</v>
      </c>
      <c r="CG7" s="55" t="s">
        <v>140</v>
      </c>
      <c r="CH7" s="55" t="s">
        <v>141</v>
      </c>
      <c r="CI7" s="55" t="s">
        <v>142</v>
      </c>
    </row>
    <row r="8" spans="1:87">
      <c r="A8" s="55" t="s">
        <v>143</v>
      </c>
      <c r="B8" s="55" t="s">
        <v>144</v>
      </c>
      <c r="C8" s="66">
        <v>2.0350000000000001</v>
      </c>
      <c r="D8" s="66">
        <v>2.06</v>
      </c>
      <c r="E8" s="66">
        <v>2.0649999999999999</v>
      </c>
      <c r="F8" s="66">
        <v>2.0870000000000002</v>
      </c>
      <c r="G8" s="66">
        <v>2.1040000000000001</v>
      </c>
      <c r="H8" s="66">
        <v>2.1150000000000002</v>
      </c>
      <c r="I8" s="66">
        <v>2.1509999999999998</v>
      </c>
      <c r="J8" s="66">
        <v>2.17</v>
      </c>
      <c r="K8" s="66">
        <v>2.1869999999999998</v>
      </c>
      <c r="L8" s="66">
        <v>2.2130000000000001</v>
      </c>
      <c r="M8" s="66">
        <v>2.2349999999999999</v>
      </c>
      <c r="N8" s="66">
        <v>2.2200000000000002</v>
      </c>
      <c r="O8" s="66">
        <v>2.2320000000000002</v>
      </c>
      <c r="P8" s="66">
        <v>2.258</v>
      </c>
      <c r="Q8" s="66">
        <v>2.2759999999999998</v>
      </c>
      <c r="R8" s="66">
        <v>2.302</v>
      </c>
      <c r="S8" s="66">
        <v>2.319</v>
      </c>
      <c r="T8" s="66">
        <v>2.363</v>
      </c>
      <c r="U8" s="66">
        <v>2.4039999999999999</v>
      </c>
      <c r="V8" s="66">
        <v>2.351</v>
      </c>
      <c r="W8" s="66">
        <v>2.34</v>
      </c>
      <c r="X8" s="66">
        <v>2.3460000000000001</v>
      </c>
      <c r="Y8" s="66">
        <v>2.3660000000000001</v>
      </c>
      <c r="Z8" s="66">
        <v>2.3809999999999998</v>
      </c>
      <c r="AA8" s="66">
        <v>2.379</v>
      </c>
      <c r="AB8" s="66">
        <v>2.383</v>
      </c>
      <c r="AC8" s="66">
        <v>2.3980000000000001</v>
      </c>
      <c r="AD8" s="66">
        <v>2.4220000000000002</v>
      </c>
      <c r="AE8" s="66">
        <v>2.4319999999999999</v>
      </c>
      <c r="AF8" s="66">
        <v>2.4769999999999999</v>
      </c>
      <c r="AG8" s="66">
        <v>2.4889999999999999</v>
      </c>
      <c r="AH8" s="66">
        <v>2.4969999999999999</v>
      </c>
      <c r="AI8" s="66">
        <v>2.5129999999999999</v>
      </c>
      <c r="AJ8" s="66">
        <v>2.5190000000000001</v>
      </c>
      <c r="AK8" s="66">
        <v>2.5299999999999998</v>
      </c>
      <c r="AL8" s="66">
        <v>2.5499999999999998</v>
      </c>
      <c r="AM8" s="66">
        <v>2.5569999999999999</v>
      </c>
      <c r="AN8" s="66">
        <v>2.5550000000000002</v>
      </c>
      <c r="AO8" s="66">
        <v>2.5739999999999998</v>
      </c>
      <c r="AP8" s="66">
        <v>2.5880000000000001</v>
      </c>
      <c r="AQ8" s="66">
        <v>2.597</v>
      </c>
      <c r="AR8" s="66">
        <v>2.6080000000000001</v>
      </c>
      <c r="AS8" s="66">
        <v>2.6139999999999999</v>
      </c>
      <c r="AT8" s="66">
        <v>2.617</v>
      </c>
      <c r="AU8" s="50">
        <v>2.6120000000000001</v>
      </c>
      <c r="AV8" s="50">
        <v>2.6230000000000002</v>
      </c>
      <c r="AW8" s="50">
        <v>2.6190000000000002</v>
      </c>
      <c r="AX8" s="50">
        <v>2.6259999999999999</v>
      </c>
      <c r="AY8" s="50">
        <v>2.6190000000000002</v>
      </c>
      <c r="AZ8" s="50">
        <v>2.6419999999999999</v>
      </c>
      <c r="BA8" s="50">
        <v>2.6619999999999999</v>
      </c>
      <c r="BB8" s="50">
        <v>2.677</v>
      </c>
      <c r="BC8" s="50">
        <v>2.6909999999999998</v>
      </c>
      <c r="BD8" s="50">
        <v>2.6949999999999998</v>
      </c>
      <c r="BE8" s="50">
        <v>2.7069999999999999</v>
      </c>
      <c r="BF8" s="50">
        <v>2.7210000000000001</v>
      </c>
      <c r="BG8" s="50">
        <v>2.7570000000000001</v>
      </c>
      <c r="BH8" s="50">
        <v>2.77</v>
      </c>
      <c r="BI8" s="50">
        <v>2.7759999999999998</v>
      </c>
      <c r="BJ8" s="50">
        <v>2.7890000000000001</v>
      </c>
      <c r="BK8" s="50">
        <v>2.802</v>
      </c>
      <c r="BL8" s="50">
        <v>2.8149999999999999</v>
      </c>
      <c r="BM8" s="50">
        <v>2.8279999999999998</v>
      </c>
      <c r="BN8" s="50">
        <v>2.8439999999999999</v>
      </c>
      <c r="BO8" s="50">
        <v>2.8610000000000002</v>
      </c>
      <c r="BP8" s="50">
        <v>2.8660000000000001</v>
      </c>
      <c r="BQ8" s="50">
        <v>2.9039999999999999</v>
      </c>
      <c r="BR8" s="50">
        <v>2.92</v>
      </c>
      <c r="BS8" s="50">
        <v>2.944</v>
      </c>
      <c r="BT8" s="50">
        <v>2.964</v>
      </c>
      <c r="BU8" s="50">
        <v>2.9849999999999999</v>
      </c>
      <c r="BV8" s="50">
        <v>3.0049999999999999</v>
      </c>
      <c r="BW8" s="50">
        <v>3.0219999999999998</v>
      </c>
      <c r="BX8" s="50">
        <v>3.0379999999999998</v>
      </c>
      <c r="BY8" s="50">
        <v>3.052</v>
      </c>
      <c r="BZ8" s="50">
        <v>3.069</v>
      </c>
      <c r="CA8" s="50">
        <v>3.081</v>
      </c>
      <c r="CB8" s="50">
        <v>3.0939999999999999</v>
      </c>
      <c r="CC8" s="50">
        <v>3.1080000000000001</v>
      </c>
      <c r="CD8" s="50">
        <v>3.1230000000000002</v>
      </c>
      <c r="CE8" s="50">
        <v>3.1379999999999999</v>
      </c>
      <c r="CF8" s="50">
        <v>3.1539999999999999</v>
      </c>
      <c r="CG8" s="50">
        <v>3.1709999999999998</v>
      </c>
      <c r="CH8" s="50">
        <v>3.1880000000000002</v>
      </c>
    </row>
    <row r="9" spans="1:87">
      <c r="A9" s="55" t="s">
        <v>145</v>
      </c>
      <c r="B9" s="55" t="s">
        <v>146</v>
      </c>
      <c r="C9" s="66">
        <v>2.0350000000000001</v>
      </c>
      <c r="D9" s="66">
        <v>2.06</v>
      </c>
      <c r="E9" s="66">
        <v>2.0649999999999999</v>
      </c>
      <c r="F9" s="66">
        <v>2.0870000000000002</v>
      </c>
      <c r="G9" s="66">
        <v>2.1040000000000001</v>
      </c>
      <c r="H9" s="66">
        <v>2.1150000000000002</v>
      </c>
      <c r="I9" s="66">
        <v>2.1509999999999998</v>
      </c>
      <c r="J9" s="66">
        <v>2.17</v>
      </c>
      <c r="K9" s="66">
        <v>2.1869999999999998</v>
      </c>
      <c r="L9" s="66">
        <v>2.2130000000000001</v>
      </c>
      <c r="M9" s="66">
        <v>2.2349999999999999</v>
      </c>
      <c r="N9" s="66">
        <v>2.2200000000000002</v>
      </c>
      <c r="O9" s="66">
        <v>2.2320000000000002</v>
      </c>
      <c r="P9" s="66">
        <v>2.258</v>
      </c>
      <c r="Q9" s="66">
        <v>2.2759999999999998</v>
      </c>
      <c r="R9" s="66">
        <v>2.302</v>
      </c>
      <c r="S9" s="66">
        <v>2.319</v>
      </c>
      <c r="T9" s="66">
        <v>2.363</v>
      </c>
      <c r="U9" s="66">
        <v>2.4039999999999999</v>
      </c>
      <c r="V9" s="66">
        <v>2.351</v>
      </c>
      <c r="W9" s="66">
        <v>2.34</v>
      </c>
      <c r="X9" s="66">
        <v>2.3460000000000001</v>
      </c>
      <c r="Y9" s="66">
        <v>2.3660000000000001</v>
      </c>
      <c r="Z9" s="66">
        <v>2.3809999999999998</v>
      </c>
      <c r="AA9" s="66">
        <v>2.379</v>
      </c>
      <c r="AB9" s="66">
        <v>2.383</v>
      </c>
      <c r="AC9" s="66">
        <v>2.3980000000000001</v>
      </c>
      <c r="AD9" s="66">
        <v>2.4220000000000002</v>
      </c>
      <c r="AE9" s="66">
        <v>2.4319999999999999</v>
      </c>
      <c r="AF9" s="66">
        <v>2.4769999999999999</v>
      </c>
      <c r="AG9" s="66">
        <v>2.4889999999999999</v>
      </c>
      <c r="AH9" s="66">
        <v>2.4969999999999999</v>
      </c>
      <c r="AI9" s="66">
        <v>2.5129999999999999</v>
      </c>
      <c r="AJ9" s="66">
        <v>2.5190000000000001</v>
      </c>
      <c r="AK9" s="66">
        <v>2.5299999999999998</v>
      </c>
      <c r="AL9" s="66">
        <v>2.5499999999999998</v>
      </c>
      <c r="AM9" s="66">
        <v>2.5569999999999999</v>
      </c>
      <c r="AN9" s="66">
        <v>2.5550000000000002</v>
      </c>
      <c r="AO9" s="66">
        <v>2.5739999999999998</v>
      </c>
      <c r="AP9" s="66">
        <v>2.5880000000000001</v>
      </c>
      <c r="AQ9" s="66">
        <v>2.597</v>
      </c>
      <c r="AR9" s="66">
        <v>2.6080000000000001</v>
      </c>
      <c r="AS9" s="66">
        <v>2.6139999999999999</v>
      </c>
      <c r="AT9" s="66">
        <v>2.617</v>
      </c>
      <c r="AU9" s="50">
        <v>2.6120000000000001</v>
      </c>
      <c r="AV9" s="50">
        <v>2.6230000000000002</v>
      </c>
      <c r="AW9" s="50">
        <v>2.6190000000000002</v>
      </c>
      <c r="AX9" s="50">
        <v>2.6259999999999999</v>
      </c>
      <c r="AY9" s="50">
        <v>2.6190000000000002</v>
      </c>
      <c r="AZ9" s="50">
        <v>2.6419999999999999</v>
      </c>
      <c r="BA9" s="50">
        <v>2.6619999999999999</v>
      </c>
      <c r="BB9" s="50">
        <v>2.677</v>
      </c>
      <c r="BC9" s="50">
        <v>2.6909999999999998</v>
      </c>
      <c r="BD9" s="50">
        <v>2.6949999999999998</v>
      </c>
      <c r="BE9" s="50">
        <v>2.7069999999999999</v>
      </c>
      <c r="BF9" s="50">
        <v>2.7210000000000001</v>
      </c>
      <c r="BG9" s="50">
        <v>2.7570000000000001</v>
      </c>
      <c r="BH9" s="50">
        <v>2.77</v>
      </c>
      <c r="BI9" s="50">
        <v>2.7759999999999998</v>
      </c>
      <c r="BJ9" s="50">
        <v>2.7890000000000001</v>
      </c>
      <c r="BK9" s="50">
        <v>2.802</v>
      </c>
      <c r="BL9" s="50">
        <v>2.8149999999999999</v>
      </c>
      <c r="BM9" s="50">
        <v>2.8279999999999998</v>
      </c>
      <c r="BN9" s="50">
        <v>2.8439999999999999</v>
      </c>
      <c r="BO9" s="50">
        <v>2.8610000000000002</v>
      </c>
      <c r="BP9" s="50">
        <v>2.8660000000000001</v>
      </c>
      <c r="BQ9" s="50">
        <v>2.9039999999999999</v>
      </c>
      <c r="BR9" s="50">
        <v>2.9180000000000001</v>
      </c>
      <c r="BS9" s="50">
        <v>2.94</v>
      </c>
      <c r="BT9" s="50">
        <v>2.956</v>
      </c>
      <c r="BU9" s="50">
        <v>2.9729999999999999</v>
      </c>
      <c r="BV9" s="50">
        <v>2.9889999999999999</v>
      </c>
      <c r="BW9" s="50">
        <v>3.0009999999999999</v>
      </c>
      <c r="BX9" s="50">
        <v>3.0129999999999999</v>
      </c>
      <c r="BY9" s="50">
        <v>3.0219999999999998</v>
      </c>
      <c r="BZ9" s="50">
        <v>3.0329999999999999</v>
      </c>
      <c r="CA9" s="50">
        <v>3.04</v>
      </c>
      <c r="CB9" s="50">
        <v>3.0489999999999999</v>
      </c>
      <c r="CC9" s="50">
        <v>3.0590000000000002</v>
      </c>
      <c r="CD9" s="50">
        <v>3.0710000000000002</v>
      </c>
      <c r="CE9" s="50">
        <v>3.0819999999999999</v>
      </c>
      <c r="CF9" s="50">
        <v>3.0950000000000002</v>
      </c>
      <c r="CG9" s="50">
        <v>3.1080000000000001</v>
      </c>
      <c r="CH9" s="50">
        <v>3.121</v>
      </c>
    </row>
    <row r="10" spans="1:87">
      <c r="A10" s="55" t="s">
        <v>147</v>
      </c>
      <c r="B10" s="55" t="s">
        <v>148</v>
      </c>
      <c r="C10" s="66">
        <v>2.0350000000000001</v>
      </c>
      <c r="D10" s="66">
        <v>2.06</v>
      </c>
      <c r="E10" s="66">
        <v>2.0649999999999999</v>
      </c>
      <c r="F10" s="66">
        <v>2.0870000000000002</v>
      </c>
      <c r="G10" s="66">
        <v>2.1040000000000001</v>
      </c>
      <c r="H10" s="66">
        <v>2.1150000000000002</v>
      </c>
      <c r="I10" s="66">
        <v>2.1509999999999998</v>
      </c>
      <c r="J10" s="66">
        <v>2.17</v>
      </c>
      <c r="K10" s="66">
        <v>2.1869999999999998</v>
      </c>
      <c r="L10" s="66">
        <v>2.2130000000000001</v>
      </c>
      <c r="M10" s="66">
        <v>2.2349999999999999</v>
      </c>
      <c r="N10" s="66">
        <v>2.2200000000000002</v>
      </c>
      <c r="O10" s="66">
        <v>2.2320000000000002</v>
      </c>
      <c r="P10" s="66">
        <v>2.258</v>
      </c>
      <c r="Q10" s="66">
        <v>2.2759999999999998</v>
      </c>
      <c r="R10" s="66">
        <v>2.302</v>
      </c>
      <c r="S10" s="66">
        <v>2.319</v>
      </c>
      <c r="T10" s="66">
        <v>2.363</v>
      </c>
      <c r="U10" s="66">
        <v>2.4039999999999999</v>
      </c>
      <c r="V10" s="66">
        <v>2.351</v>
      </c>
      <c r="W10" s="66">
        <v>2.34</v>
      </c>
      <c r="X10" s="66">
        <v>2.3460000000000001</v>
      </c>
      <c r="Y10" s="66">
        <v>2.3660000000000001</v>
      </c>
      <c r="Z10" s="66">
        <v>2.3809999999999998</v>
      </c>
      <c r="AA10" s="66">
        <v>2.379</v>
      </c>
      <c r="AB10" s="66">
        <v>2.383</v>
      </c>
      <c r="AC10" s="66">
        <v>2.3980000000000001</v>
      </c>
      <c r="AD10" s="66">
        <v>2.4220000000000002</v>
      </c>
      <c r="AE10" s="66">
        <v>2.4319999999999999</v>
      </c>
      <c r="AF10" s="66">
        <v>2.4769999999999999</v>
      </c>
      <c r="AG10" s="66">
        <v>2.4889999999999999</v>
      </c>
      <c r="AH10" s="66">
        <v>2.4969999999999999</v>
      </c>
      <c r="AI10" s="66">
        <v>2.5129999999999999</v>
      </c>
      <c r="AJ10" s="66">
        <v>2.5190000000000001</v>
      </c>
      <c r="AK10" s="66">
        <v>2.5299999999999998</v>
      </c>
      <c r="AL10" s="66">
        <v>2.5499999999999998</v>
      </c>
      <c r="AM10" s="66">
        <v>2.5569999999999999</v>
      </c>
      <c r="AN10" s="66">
        <v>2.5550000000000002</v>
      </c>
      <c r="AO10" s="66">
        <v>2.5739999999999998</v>
      </c>
      <c r="AP10" s="66">
        <v>2.5880000000000001</v>
      </c>
      <c r="AQ10" s="66">
        <v>2.597</v>
      </c>
      <c r="AR10" s="66">
        <v>2.6080000000000001</v>
      </c>
      <c r="AS10" s="66">
        <v>2.6139999999999999</v>
      </c>
      <c r="AT10" s="66">
        <v>2.617</v>
      </c>
      <c r="AU10" s="50">
        <v>2.6120000000000001</v>
      </c>
      <c r="AV10" s="50">
        <v>2.6230000000000002</v>
      </c>
      <c r="AW10" s="50">
        <v>2.6190000000000002</v>
      </c>
      <c r="AX10" s="50">
        <v>2.6259999999999999</v>
      </c>
      <c r="AY10" s="50">
        <v>2.6190000000000002</v>
      </c>
      <c r="AZ10" s="50">
        <v>2.6419999999999999</v>
      </c>
      <c r="BA10" s="50">
        <v>2.6619999999999999</v>
      </c>
      <c r="BB10" s="50">
        <v>2.677</v>
      </c>
      <c r="BC10" s="50">
        <v>2.6909999999999998</v>
      </c>
      <c r="BD10" s="50">
        <v>2.6949999999999998</v>
      </c>
      <c r="BE10" s="50">
        <v>2.7069999999999999</v>
      </c>
      <c r="BF10" s="50">
        <v>2.7210000000000001</v>
      </c>
      <c r="BG10" s="50">
        <v>2.7570000000000001</v>
      </c>
      <c r="BH10" s="50">
        <v>2.77</v>
      </c>
      <c r="BI10" s="50">
        <v>2.7759999999999998</v>
      </c>
      <c r="BJ10" s="50">
        <v>2.7890000000000001</v>
      </c>
      <c r="BK10" s="50">
        <v>2.802</v>
      </c>
      <c r="BL10" s="50">
        <v>2.8149999999999999</v>
      </c>
      <c r="BM10" s="50">
        <v>2.8279999999999998</v>
      </c>
      <c r="BN10" s="50">
        <v>2.8439999999999999</v>
      </c>
      <c r="BO10" s="50">
        <v>2.8610000000000002</v>
      </c>
      <c r="BP10" s="50">
        <v>2.8660000000000001</v>
      </c>
      <c r="BQ10" s="50">
        <v>2.9039999999999999</v>
      </c>
      <c r="BR10" s="50">
        <v>2.923</v>
      </c>
      <c r="BS10" s="50">
        <v>2.95</v>
      </c>
      <c r="BT10" s="50">
        <v>2.9729999999999999</v>
      </c>
      <c r="BU10" s="50">
        <v>2.9990000000000001</v>
      </c>
      <c r="BV10" s="50">
        <v>3.0249999999999999</v>
      </c>
      <c r="BW10" s="50">
        <v>3.0470000000000002</v>
      </c>
      <c r="BX10" s="50">
        <v>3.069</v>
      </c>
      <c r="BY10" s="50">
        <v>3.09</v>
      </c>
      <c r="BZ10" s="50">
        <v>3.113</v>
      </c>
      <c r="CA10" s="50">
        <v>3.133</v>
      </c>
      <c r="CB10" s="50">
        <v>3.1539999999999999</v>
      </c>
      <c r="CC10" s="50">
        <v>3.1760000000000002</v>
      </c>
      <c r="CD10" s="50">
        <v>3.198</v>
      </c>
      <c r="CE10" s="50">
        <v>3.22</v>
      </c>
      <c r="CF10" s="50">
        <v>3.2440000000000002</v>
      </c>
      <c r="CG10" s="50">
        <v>3.2690000000000001</v>
      </c>
      <c r="CH10" s="50">
        <v>3.2949999999999999</v>
      </c>
    </row>
    <row r="14" spans="1:87"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</row>
    <row r="15" spans="1:87"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BP15" s="67" t="s">
        <v>149</v>
      </c>
      <c r="BQ15" s="68"/>
      <c r="BR15" s="68"/>
      <c r="BS15" s="69" t="s">
        <v>150</v>
      </c>
      <c r="BT15" s="70"/>
      <c r="BU15" s="70"/>
      <c r="BV15" s="70"/>
      <c r="BW15" s="70"/>
      <c r="BX15" s="70"/>
      <c r="BY15" s="68"/>
      <c r="BZ15" s="68"/>
      <c r="CA15" s="68"/>
    </row>
    <row r="16" spans="1:87"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BP16" s="71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3"/>
    </row>
    <row r="17" spans="3:79"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BP17" s="75"/>
      <c r="BQ17" s="76" t="s">
        <v>151</v>
      </c>
      <c r="BR17" s="68" t="s">
        <v>152</v>
      </c>
      <c r="BS17" s="68"/>
      <c r="BT17" s="68"/>
      <c r="BU17" s="68"/>
      <c r="BV17" s="68"/>
      <c r="BW17" s="68"/>
      <c r="BX17" s="68"/>
      <c r="BY17" s="68"/>
      <c r="BZ17" s="68"/>
      <c r="CA17" s="77"/>
    </row>
    <row r="18" spans="3:79">
      <c r="BP18" s="75"/>
      <c r="BQ18" s="68"/>
      <c r="BR18" s="78" t="str">
        <f>BT7</f>
        <v>2021Q2</v>
      </c>
      <c r="BS18" s="68"/>
      <c r="BT18" s="68"/>
      <c r="BU18" s="68"/>
      <c r="BV18" s="68"/>
      <c r="BW18" s="68"/>
      <c r="BX18" s="68"/>
      <c r="BY18" s="68"/>
      <c r="BZ18" s="68"/>
      <c r="CA18" s="79" t="s">
        <v>153</v>
      </c>
    </row>
    <row r="19" spans="3:79">
      <c r="BP19" s="75"/>
      <c r="BQ19" s="68"/>
      <c r="BR19" s="80">
        <f>BT9</f>
        <v>2.956</v>
      </c>
      <c r="BS19" s="68"/>
      <c r="BT19" s="68"/>
      <c r="BU19" s="68"/>
      <c r="BV19" s="68"/>
      <c r="BW19" s="68"/>
      <c r="BX19" s="68"/>
      <c r="BY19" s="68"/>
      <c r="BZ19" s="68"/>
      <c r="CA19" s="81">
        <f>BR19</f>
        <v>2.956</v>
      </c>
    </row>
    <row r="20" spans="3:79">
      <c r="BP20" s="75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82"/>
    </row>
    <row r="21" spans="3:79">
      <c r="BP21" s="75"/>
      <c r="BQ21" s="76" t="s">
        <v>154</v>
      </c>
      <c r="BR21" s="68" t="s">
        <v>155</v>
      </c>
      <c r="BS21" s="68"/>
      <c r="BT21" s="68"/>
      <c r="BU21" s="68"/>
      <c r="BV21" s="68"/>
      <c r="BW21" s="68"/>
      <c r="BX21" s="68"/>
      <c r="BY21" s="68"/>
      <c r="BZ21" s="68"/>
      <c r="CA21" s="82"/>
    </row>
    <row r="22" spans="3:79">
      <c r="BP22" s="75"/>
      <c r="BQ22" s="68"/>
      <c r="BR22" s="78" t="str">
        <f>BU7</f>
        <v>2021Q3</v>
      </c>
      <c r="BS22" s="78"/>
      <c r="BT22" s="78"/>
      <c r="BU22" s="78"/>
      <c r="BV22" s="78"/>
      <c r="BW22" s="78"/>
      <c r="BX22" s="78"/>
      <c r="BY22" s="78"/>
      <c r="BZ22" s="68"/>
      <c r="CA22" s="82"/>
    </row>
    <row r="23" spans="3:79">
      <c r="BP23" s="75"/>
      <c r="BQ23" s="68"/>
      <c r="BR23" s="80">
        <v>2.9729999999999999</v>
      </c>
      <c r="BS23" s="80">
        <v>2.9889999999999999</v>
      </c>
      <c r="BT23" s="80">
        <v>3.0009999999999999</v>
      </c>
      <c r="BU23" s="80">
        <v>3.0129999999999999</v>
      </c>
      <c r="BV23" s="80">
        <v>3.0219999999999998</v>
      </c>
      <c r="BW23" s="80">
        <v>3.0329999999999999</v>
      </c>
      <c r="BX23" s="80">
        <v>3.04</v>
      </c>
      <c r="BY23" s="80">
        <v>3.0489999999999999</v>
      </c>
      <c r="BZ23" s="68"/>
      <c r="CA23" s="81">
        <f>AVERAGE(BR23:BY23)</f>
        <v>3.0149999999999997</v>
      </c>
    </row>
    <row r="24" spans="3:79">
      <c r="BP24" s="75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82"/>
    </row>
    <row r="25" spans="3:79">
      <c r="BP25" s="75"/>
      <c r="BQ25" s="68"/>
      <c r="BR25" s="68"/>
      <c r="BS25" s="68"/>
      <c r="BT25" s="68"/>
      <c r="BU25" s="68"/>
      <c r="BV25" s="68"/>
      <c r="BW25" s="68"/>
      <c r="BX25" s="68"/>
      <c r="BY25" s="68"/>
      <c r="BZ25" s="83" t="s">
        <v>156</v>
      </c>
      <c r="CA25" s="84">
        <f>(CA23-CA19)/CA19</f>
        <v>1.9959404600811814E-2</v>
      </c>
    </row>
    <row r="26" spans="3:79">
      <c r="BP26" s="85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7"/>
    </row>
    <row r="27" spans="3:79"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</row>
    <row r="28" spans="3:79"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</row>
    <row r="36" spans="64:64">
      <c r="BL36" s="50" t="s">
        <v>157</v>
      </c>
    </row>
  </sheetData>
  <pageMargins left="0.25" right="0.25" top="1" bottom="1" header="0.5" footer="0.5"/>
  <pageSetup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zoomScale="70" zoomScaleNormal="70" workbookViewId="0">
      <selection activeCell="N13" sqref="N13"/>
    </sheetView>
  </sheetViews>
  <sheetFormatPr defaultColWidth="8.6640625" defaultRowHeight="14.4"/>
  <cols>
    <col min="1" max="1" width="5.44140625" customWidth="1"/>
    <col min="2" max="2" width="58" customWidth="1"/>
    <col min="3" max="3" width="16.109375" customWidth="1"/>
    <col min="4" max="4" width="10" hidden="1" customWidth="1"/>
    <col min="5" max="5" width="1.6640625" customWidth="1"/>
    <col min="6" max="6" width="57.109375" customWidth="1"/>
    <col min="7" max="7" width="62.109375" style="137" customWidth="1"/>
    <col min="8" max="8" width="14.6640625" hidden="1" customWidth="1"/>
    <col min="9" max="9" width="0" hidden="1" customWidth="1"/>
    <col min="10" max="10" width="11" hidden="1" customWidth="1"/>
    <col min="11" max="11" width="0" hidden="1" customWidth="1"/>
  </cols>
  <sheetData>
    <row r="1" spans="2:10" ht="13.8" customHeight="1">
      <c r="C1" s="136" t="s">
        <v>187</v>
      </c>
    </row>
    <row r="2" spans="2:10" hidden="1">
      <c r="C2" s="138" t="s">
        <v>188</v>
      </c>
    </row>
    <row r="3" spans="2:10" ht="21">
      <c r="B3" s="139"/>
      <c r="C3" s="140" t="s">
        <v>189</v>
      </c>
      <c r="D3" s="140" t="s">
        <v>190</v>
      </c>
      <c r="E3" s="141"/>
      <c r="F3" s="141"/>
      <c r="G3" s="142"/>
    </row>
    <row r="4" spans="2:10" ht="42.6" thickBot="1">
      <c r="B4" s="143" t="s">
        <v>165</v>
      </c>
      <c r="C4" s="144" t="s">
        <v>191</v>
      </c>
      <c r="D4" s="140" t="s">
        <v>192</v>
      </c>
      <c r="E4" s="141"/>
      <c r="F4" s="143" t="s">
        <v>193</v>
      </c>
      <c r="G4" s="145" t="s">
        <v>194</v>
      </c>
      <c r="H4" s="138" t="s">
        <v>195</v>
      </c>
      <c r="J4" t="s">
        <v>196</v>
      </c>
    </row>
    <row r="5" spans="2:10" ht="31.2" customHeight="1">
      <c r="B5" s="146" t="s">
        <v>197</v>
      </c>
      <c r="C5" s="147">
        <v>15.48</v>
      </c>
      <c r="D5" s="147" t="e">
        <f>'[15]Direct Care'!#REF!</f>
        <v>#REF!</v>
      </c>
      <c r="E5" s="148"/>
      <c r="F5" s="149" t="s">
        <v>198</v>
      </c>
      <c r="G5" s="150" t="s">
        <v>199</v>
      </c>
      <c r="H5" s="151">
        <f>H6/2080</f>
        <v>15.480288461538462</v>
      </c>
      <c r="J5" s="152" t="e">
        <f>D5-H5</f>
        <v>#REF!</v>
      </c>
    </row>
    <row r="6" spans="2:10" ht="31.2" customHeight="1" thickBot="1">
      <c r="B6" s="153" t="s">
        <v>200</v>
      </c>
      <c r="C6" s="154">
        <f>C5*2080</f>
        <v>32198.400000000001</v>
      </c>
      <c r="D6" s="154" t="e">
        <f>D5*2080</f>
        <v>#REF!</v>
      </c>
      <c r="E6" s="141"/>
      <c r="F6" s="155"/>
      <c r="G6" s="156"/>
      <c r="H6" s="157">
        <v>32199</v>
      </c>
      <c r="J6" s="152"/>
    </row>
    <row r="7" spans="2:10" ht="21">
      <c r="B7" s="146" t="s">
        <v>201</v>
      </c>
      <c r="C7" s="147">
        <v>19.96</v>
      </c>
      <c r="D7" s="147" t="e">
        <f>'[15]Direct Care III '!#REF!</f>
        <v>#REF!</v>
      </c>
      <c r="E7" s="148"/>
      <c r="F7" s="148" t="s">
        <v>202</v>
      </c>
      <c r="G7" s="150" t="s">
        <v>203</v>
      </c>
      <c r="H7" s="151">
        <f>H8/2080</f>
        <v>18.400480769230768</v>
      </c>
      <c r="J7" s="152" t="e">
        <f>D7-H7</f>
        <v>#REF!</v>
      </c>
    </row>
    <row r="8" spans="2:10" ht="21.6" thickBot="1">
      <c r="B8" s="158" t="s">
        <v>204</v>
      </c>
      <c r="C8" s="159">
        <f>C7*2080</f>
        <v>41516.800000000003</v>
      </c>
      <c r="D8" s="159" t="e">
        <f>D7*2080</f>
        <v>#REF!</v>
      </c>
      <c r="E8" s="160"/>
      <c r="F8" s="160"/>
      <c r="G8" s="156"/>
      <c r="H8" s="157">
        <v>38273</v>
      </c>
      <c r="J8" s="152"/>
    </row>
    <row r="9" spans="2:10" ht="21">
      <c r="B9" s="146" t="s">
        <v>205</v>
      </c>
      <c r="C9" s="147">
        <v>15.53</v>
      </c>
      <c r="D9" s="147" t="e">
        <f>[15]CNA!#REF!</f>
        <v>#REF!</v>
      </c>
      <c r="E9" s="148"/>
      <c r="F9" s="148"/>
      <c r="G9" s="150" t="s">
        <v>206</v>
      </c>
      <c r="H9" s="151">
        <f>H10/2080</f>
        <v>20.43028846153846</v>
      </c>
      <c r="J9" s="161" t="e">
        <f>D9-H9</f>
        <v>#REF!</v>
      </c>
    </row>
    <row r="10" spans="2:10" ht="21.6" thickBot="1">
      <c r="B10" s="158" t="s">
        <v>207</v>
      </c>
      <c r="C10" s="159">
        <f>C9*2080</f>
        <v>32302.399999999998</v>
      </c>
      <c r="D10" s="159" t="e">
        <f>D9*2080</f>
        <v>#REF!</v>
      </c>
      <c r="E10" s="160"/>
      <c r="F10" s="160"/>
      <c r="G10" s="156"/>
      <c r="H10" s="157">
        <v>42495</v>
      </c>
      <c r="J10" s="152"/>
    </row>
    <row r="11" spans="2:10" ht="21">
      <c r="B11" s="146" t="s">
        <v>208</v>
      </c>
      <c r="C11" s="147">
        <v>21.14</v>
      </c>
      <c r="D11" s="147" t="e">
        <f>'[15]Caseworker BA'!#REF!</f>
        <v>#REF!</v>
      </c>
      <c r="E11" s="148"/>
      <c r="F11" s="148" t="s">
        <v>209</v>
      </c>
      <c r="G11" s="150" t="s">
        <v>210</v>
      </c>
      <c r="H11" s="162" t="s">
        <v>211</v>
      </c>
      <c r="J11" s="152"/>
    </row>
    <row r="12" spans="2:10" ht="21.6" thickBot="1">
      <c r="B12" s="158" t="s">
        <v>212</v>
      </c>
      <c r="C12" s="159">
        <f>C11*2080</f>
        <v>43971.200000000004</v>
      </c>
      <c r="D12" s="159" t="e">
        <f>D11*2080</f>
        <v>#REF!</v>
      </c>
      <c r="E12" s="160"/>
      <c r="F12" s="160" t="s">
        <v>213</v>
      </c>
      <c r="G12" s="156"/>
      <c r="H12" s="163"/>
      <c r="J12" s="152"/>
    </row>
    <row r="13" spans="2:10" ht="42">
      <c r="B13" s="164" t="s">
        <v>214</v>
      </c>
      <c r="C13" s="165">
        <v>25.32</v>
      </c>
      <c r="D13" s="165" t="e">
        <f>'[15]Casemanager MA '!#REF!</f>
        <v>#REF!</v>
      </c>
      <c r="E13" s="141"/>
      <c r="F13" s="141" t="s">
        <v>215</v>
      </c>
      <c r="G13" s="166" t="s">
        <v>216</v>
      </c>
      <c r="H13" s="151">
        <f>H14/2080</f>
        <v>19.703365384615385</v>
      </c>
      <c r="J13" s="152" t="e">
        <f>D13-H13</f>
        <v>#REF!</v>
      </c>
    </row>
    <row r="14" spans="2:10" ht="42.6" thickBot="1">
      <c r="B14" s="164" t="s">
        <v>217</v>
      </c>
      <c r="C14" s="159">
        <f>C13*2080</f>
        <v>52665.599999999999</v>
      </c>
      <c r="D14" s="159" t="e">
        <f>D13*2080</f>
        <v>#REF!</v>
      </c>
      <c r="E14" s="160"/>
      <c r="F14" s="160" t="s">
        <v>218</v>
      </c>
      <c r="G14" s="156"/>
      <c r="H14" s="157">
        <v>40983</v>
      </c>
      <c r="J14" s="152"/>
    </row>
    <row r="15" spans="2:10" ht="21">
      <c r="B15" s="146" t="s">
        <v>219</v>
      </c>
      <c r="C15" s="147">
        <v>29.29</v>
      </c>
      <c r="D15" s="147" t="e">
        <f>'[15]Clinician w indep Lic'!#REF!</f>
        <v>#REF!</v>
      </c>
      <c r="E15" s="148"/>
      <c r="F15" s="148" t="s">
        <v>220</v>
      </c>
      <c r="G15" s="150" t="s">
        <v>221</v>
      </c>
      <c r="H15" s="151">
        <f>H16/2080</f>
        <v>27.190865384615385</v>
      </c>
      <c r="J15" s="152" t="e">
        <f>D15-H15</f>
        <v>#REF!</v>
      </c>
    </row>
    <row r="16" spans="2:10" ht="21.6" thickBot="1">
      <c r="B16" s="158" t="s">
        <v>222</v>
      </c>
      <c r="C16" s="159">
        <f>C15*2080</f>
        <v>60923.199999999997</v>
      </c>
      <c r="D16" s="159" t="e">
        <f>D15*2080</f>
        <v>#REF!</v>
      </c>
      <c r="E16" s="160"/>
      <c r="F16" s="160"/>
      <c r="G16" s="156"/>
      <c r="H16" s="157">
        <v>56557</v>
      </c>
      <c r="J16" s="152"/>
    </row>
    <row r="17" spans="2:10" ht="21">
      <c r="B17" s="146" t="s">
        <v>223</v>
      </c>
      <c r="C17" s="147">
        <v>40.06</v>
      </c>
      <c r="D17" s="147" t="e">
        <f>'[15]Clinical Manager'!#REF!</f>
        <v>#REF!</v>
      </c>
      <c r="E17" s="148"/>
      <c r="F17" s="167" t="s">
        <v>224</v>
      </c>
      <c r="G17" s="150" t="s">
        <v>225</v>
      </c>
      <c r="H17" s="151">
        <f>H18/2080</f>
        <v>33.217788461538461</v>
      </c>
      <c r="J17" s="152" t="e">
        <f>D17-H17</f>
        <v>#REF!</v>
      </c>
    </row>
    <row r="18" spans="2:10" ht="21.6" thickBot="1">
      <c r="B18" s="158" t="s">
        <v>226</v>
      </c>
      <c r="C18" s="159">
        <f>C17*2080</f>
        <v>83324.800000000003</v>
      </c>
      <c r="D18" s="159" t="e">
        <f>D17*2080</f>
        <v>#REF!</v>
      </c>
      <c r="E18" s="160"/>
      <c r="F18" s="168"/>
      <c r="G18" s="156"/>
      <c r="H18" s="157">
        <v>69093</v>
      </c>
      <c r="J18" s="152"/>
    </row>
    <row r="19" spans="2:10" ht="21">
      <c r="B19" s="146" t="s">
        <v>227</v>
      </c>
      <c r="C19" s="147">
        <v>27.62</v>
      </c>
      <c r="D19" s="147" t="e">
        <f>[15]LPN!#REF!</f>
        <v>#REF!</v>
      </c>
      <c r="E19" s="148"/>
      <c r="F19" s="148"/>
      <c r="G19" s="150" t="s">
        <v>228</v>
      </c>
      <c r="H19" s="151">
        <f>H20/2080</f>
        <v>25.143750000000001</v>
      </c>
      <c r="J19" s="152" t="e">
        <f>D19-H19</f>
        <v>#REF!</v>
      </c>
    </row>
    <row r="20" spans="2:10" ht="21.6" thickBot="1">
      <c r="B20" s="158" t="s">
        <v>229</v>
      </c>
      <c r="C20" s="159">
        <f>C19*2080</f>
        <v>57449.599999999999</v>
      </c>
      <c r="D20" s="159" t="e">
        <f>D19*2080</f>
        <v>#REF!</v>
      </c>
      <c r="E20" s="160"/>
      <c r="F20" s="160"/>
      <c r="G20" s="156"/>
      <c r="H20" s="157">
        <v>52299</v>
      </c>
      <c r="J20" s="152"/>
    </row>
    <row r="21" spans="2:10" ht="21">
      <c r="B21" s="146" t="s">
        <v>230</v>
      </c>
      <c r="C21" s="147">
        <v>41.76</v>
      </c>
      <c r="D21" s="147" t="e">
        <f>'[15]BS RN'!#REF!</f>
        <v>#REF!</v>
      </c>
      <c r="E21" s="148"/>
      <c r="F21" s="148"/>
      <c r="G21" s="150" t="s">
        <v>231</v>
      </c>
      <c r="H21" s="169">
        <f>H22/2080</f>
        <v>33.460576923076921</v>
      </c>
      <c r="J21" s="152" t="e">
        <f>D21-H21</f>
        <v>#REF!</v>
      </c>
    </row>
    <row r="22" spans="2:10" ht="21.6" thickBot="1">
      <c r="B22" s="158" t="s">
        <v>232</v>
      </c>
      <c r="C22" s="159">
        <f>C21*2080</f>
        <v>86860.800000000003</v>
      </c>
      <c r="D22" s="159" t="e">
        <f>D21*2080</f>
        <v>#REF!</v>
      </c>
      <c r="E22" s="160"/>
      <c r="F22" s="160"/>
      <c r="G22" s="156"/>
      <c r="H22" s="157">
        <v>69598</v>
      </c>
      <c r="J22" s="152"/>
    </row>
    <row r="23" spans="2:10" ht="21">
      <c r="B23" s="146" t="s">
        <v>233</v>
      </c>
      <c r="C23" s="147">
        <v>57.41</v>
      </c>
      <c r="D23" s="147" t="e">
        <f>'[15]MA RN. APRN'!#REF!</f>
        <v>#REF!</v>
      </c>
      <c r="E23" s="148"/>
      <c r="F23" s="148"/>
      <c r="G23" s="150" t="s">
        <v>234</v>
      </c>
      <c r="H23" s="151">
        <f>H24/2080</f>
        <v>48.354326923076925</v>
      </c>
      <c r="J23" s="152" t="e">
        <f>D23-H23</f>
        <v>#REF!</v>
      </c>
    </row>
    <row r="24" spans="2:10" ht="21.6" thickBot="1">
      <c r="B24" s="158" t="s">
        <v>235</v>
      </c>
      <c r="C24" s="159">
        <f>C23*2080</f>
        <v>119412.79999999999</v>
      </c>
      <c r="D24" s="159" t="e">
        <f>D23*2080</f>
        <v>#REF!</v>
      </c>
      <c r="E24" s="160"/>
      <c r="F24" s="160"/>
      <c r="G24" s="156"/>
      <c r="H24" s="157">
        <v>100577</v>
      </c>
      <c r="J24" s="152"/>
    </row>
    <row r="25" spans="2:10" ht="21">
      <c r="B25" s="141"/>
      <c r="C25" s="141"/>
      <c r="D25" s="141"/>
      <c r="E25" s="141"/>
      <c r="F25" s="141"/>
      <c r="G25" s="142"/>
    </row>
    <row r="26" spans="2:10" ht="42">
      <c r="B26" s="170" t="s">
        <v>236</v>
      </c>
      <c r="C26" s="154">
        <v>32198</v>
      </c>
      <c r="D26" s="141"/>
      <c r="E26" s="141"/>
      <c r="F26" s="141"/>
      <c r="G26" s="142"/>
    </row>
    <row r="27" spans="2:10" ht="21">
      <c r="B27" s="171" t="s">
        <v>237</v>
      </c>
      <c r="C27" s="172">
        <v>0.224</v>
      </c>
      <c r="D27" s="141"/>
      <c r="E27" s="141"/>
      <c r="F27" s="141" t="s">
        <v>239</v>
      </c>
      <c r="G27" s="142"/>
    </row>
    <row r="28" spans="2:10" ht="21">
      <c r="B28" s="171"/>
      <c r="C28" s="172"/>
      <c r="D28" s="141"/>
      <c r="E28" s="141"/>
      <c r="F28" s="141" t="s">
        <v>238</v>
      </c>
      <c r="G28" s="142"/>
    </row>
    <row r="29" spans="2:10" ht="21">
      <c r="B29" s="171" t="s">
        <v>332</v>
      </c>
      <c r="C29" s="172">
        <v>3.7000000000000002E-3</v>
      </c>
      <c r="D29" s="141"/>
      <c r="E29" s="141"/>
      <c r="F29" s="141"/>
      <c r="G29" s="142"/>
    </row>
    <row r="30" spans="2:10" ht="21">
      <c r="B30" s="171" t="s">
        <v>341</v>
      </c>
      <c r="C30" s="172">
        <v>0.12</v>
      </c>
    </row>
    <row r="31" spans="2:10" ht="21">
      <c r="B31" s="171"/>
    </row>
  </sheetData>
  <mergeCells count="13">
    <mergeCell ref="G23:G24"/>
    <mergeCell ref="G13:G14"/>
    <mergeCell ref="G15:G16"/>
    <mergeCell ref="F17:F18"/>
    <mergeCell ref="G17:G18"/>
    <mergeCell ref="G19:G20"/>
    <mergeCell ref="G21:G22"/>
    <mergeCell ref="F5:F6"/>
    <mergeCell ref="G5:G6"/>
    <mergeCell ref="G7:G8"/>
    <mergeCell ref="G9:G10"/>
    <mergeCell ref="G11:G12"/>
    <mergeCell ref="H11:H12"/>
  </mergeCells>
  <pageMargins left="0.25" right="0.25" top="0.25" bottom="0.25" header="0.05" footer="0.05"/>
  <pageSetup scale="66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47"/>
  <sheetViews>
    <sheetView topLeftCell="A16" zoomScale="60" zoomScaleNormal="60" workbookViewId="0">
      <selection activeCell="S18" sqref="S18"/>
    </sheetView>
  </sheetViews>
  <sheetFormatPr defaultColWidth="8.6640625" defaultRowHeight="18"/>
  <cols>
    <col min="1" max="1" width="4.44140625" style="731" customWidth="1"/>
    <col min="2" max="2" width="31.44140625" style="731" bestFit="1" customWidth="1"/>
    <col min="3" max="3" width="14.44140625" style="731" customWidth="1"/>
    <col min="4" max="4" width="77" style="731" customWidth="1"/>
    <col min="5" max="5" width="8.44140625" style="731" customWidth="1"/>
    <col min="6" max="6" width="42.77734375" style="731" customWidth="1"/>
    <col min="7" max="7" width="12.44140625" style="731" customWidth="1"/>
    <col min="8" max="8" width="12" style="731" customWidth="1"/>
    <col min="9" max="9" width="15.33203125" style="731" customWidth="1"/>
    <col min="10" max="10" width="4.109375" style="731" customWidth="1"/>
    <col min="11" max="11" width="40.21875" style="731" customWidth="1"/>
    <col min="12" max="12" width="14.44140625" style="731" bestFit="1" customWidth="1"/>
    <col min="13" max="13" width="14.33203125" style="731" customWidth="1"/>
    <col min="14" max="14" width="15.33203125" style="731" customWidth="1"/>
    <col min="15" max="15" width="4.33203125" style="731" customWidth="1"/>
    <col min="16" max="16" width="41.5546875" style="731" customWidth="1"/>
    <col min="17" max="17" width="11" style="731" bestFit="1" customWidth="1"/>
    <col min="18" max="18" width="13.33203125" style="731" customWidth="1"/>
    <col min="19" max="19" width="15.33203125" style="731" customWidth="1"/>
    <col min="20" max="16384" width="8.6640625" style="731"/>
  </cols>
  <sheetData>
    <row r="2" spans="2:19" ht="18.600000000000001" thickBot="1"/>
    <row r="3" spans="2:19" ht="18.600000000000001" thickBot="1">
      <c r="B3" s="88" t="s">
        <v>158</v>
      </c>
      <c r="C3" s="89"/>
      <c r="D3" s="90"/>
      <c r="F3" s="91" t="s">
        <v>159</v>
      </c>
      <c r="G3" s="92"/>
      <c r="H3" s="92"/>
      <c r="I3" s="93"/>
      <c r="K3" s="91" t="s">
        <v>159</v>
      </c>
      <c r="L3" s="92"/>
      <c r="M3" s="92"/>
      <c r="N3" s="93"/>
      <c r="P3" s="91" t="s">
        <v>159</v>
      </c>
      <c r="Q3" s="92"/>
      <c r="R3" s="92"/>
      <c r="S3" s="93"/>
    </row>
    <row r="4" spans="2:19" ht="18.600000000000001" thickBot="1">
      <c r="B4" s="94" t="s">
        <v>159</v>
      </c>
      <c r="C4" s="95"/>
      <c r="D4" s="96"/>
      <c r="F4" s="91" t="s">
        <v>160</v>
      </c>
      <c r="G4" s="92"/>
      <c r="H4" s="92"/>
      <c r="I4" s="93"/>
      <c r="K4" s="91" t="s">
        <v>161</v>
      </c>
      <c r="L4" s="92"/>
      <c r="M4" s="92"/>
      <c r="N4" s="93"/>
      <c r="P4" s="91" t="s">
        <v>162</v>
      </c>
      <c r="Q4" s="92"/>
      <c r="R4" s="92"/>
      <c r="S4" s="93"/>
    </row>
    <row r="5" spans="2:19">
      <c r="B5" s="732" t="s">
        <v>163</v>
      </c>
      <c r="C5" s="733"/>
      <c r="D5" s="734" t="s">
        <v>4</v>
      </c>
      <c r="F5" s="735"/>
      <c r="G5" s="736"/>
      <c r="H5" s="736"/>
      <c r="I5" s="737"/>
      <c r="K5" s="735"/>
      <c r="L5" s="736"/>
      <c r="M5" s="736"/>
      <c r="N5" s="737"/>
      <c r="P5" s="735"/>
      <c r="Q5" s="736"/>
      <c r="R5" s="736"/>
      <c r="S5" s="737"/>
    </row>
    <row r="6" spans="2:19">
      <c r="B6" s="97" t="str">
        <f>'[9] Contract Data'!O3</f>
        <v>Program Management</v>
      </c>
      <c r="C6" s="98">
        <f>55177*(3.14%+1)*(2.68%+1)</f>
        <v>58434.733949039997</v>
      </c>
      <c r="D6" s="738" t="s">
        <v>164</v>
      </c>
      <c r="F6" s="739" t="s">
        <v>165</v>
      </c>
      <c r="G6" s="740" t="s">
        <v>5</v>
      </c>
      <c r="H6" s="740" t="s">
        <v>6</v>
      </c>
      <c r="I6" s="741" t="s">
        <v>7</v>
      </c>
      <c r="K6" s="739" t="s">
        <v>165</v>
      </c>
      <c r="L6" s="740" t="s">
        <v>5</v>
      </c>
      <c r="M6" s="740" t="s">
        <v>6</v>
      </c>
      <c r="N6" s="741" t="s">
        <v>7</v>
      </c>
      <c r="P6" s="739" t="s">
        <v>165</v>
      </c>
      <c r="Q6" s="740" t="s">
        <v>5</v>
      </c>
      <c r="R6" s="740" t="s">
        <v>6</v>
      </c>
      <c r="S6" s="741" t="s">
        <v>7</v>
      </c>
    </row>
    <row r="7" spans="2:19">
      <c r="B7" s="99" t="s">
        <v>11</v>
      </c>
      <c r="C7" s="100">
        <f>[9]Chart!C8</f>
        <v>41516.800000000003</v>
      </c>
      <c r="D7" s="738" t="s">
        <v>12</v>
      </c>
      <c r="F7" s="101" t="str">
        <f t="shared" ref="F7:G10" si="0">B6</f>
        <v>Program Management</v>
      </c>
      <c r="G7" s="102">
        <f t="shared" si="0"/>
        <v>58434.733949039997</v>
      </c>
      <c r="H7" s="103">
        <v>0.25</v>
      </c>
      <c r="I7" s="742">
        <f>G7*H7</f>
        <v>14608.683487259999</v>
      </c>
      <c r="K7" s="97" t="str">
        <f t="shared" ref="K7:L8" si="1">B6</f>
        <v>Program Management</v>
      </c>
      <c r="L7" s="104">
        <f t="shared" si="1"/>
        <v>58434.733949039997</v>
      </c>
      <c r="M7" s="103">
        <v>0.75</v>
      </c>
      <c r="N7" s="742">
        <f>L7*M7</f>
        <v>43826.050461779996</v>
      </c>
      <c r="P7" s="101" t="str">
        <f t="shared" ref="P7:Q8" si="2">B6</f>
        <v>Program Management</v>
      </c>
      <c r="Q7" s="104">
        <f t="shared" si="2"/>
        <v>58434.733949039997</v>
      </c>
      <c r="R7" s="103">
        <v>1</v>
      </c>
      <c r="S7" s="742">
        <f>Q7*R7</f>
        <v>58434.733949039997</v>
      </c>
    </row>
    <row r="8" spans="2:19">
      <c r="B8" s="99" t="s">
        <v>13</v>
      </c>
      <c r="C8" s="100">
        <f>[9]Chart!C6</f>
        <v>32198.400000000001</v>
      </c>
      <c r="D8" s="738" t="s">
        <v>12</v>
      </c>
      <c r="F8" s="105" t="str">
        <f t="shared" si="0"/>
        <v>Direct Care III</v>
      </c>
      <c r="G8" s="102">
        <f t="shared" si="0"/>
        <v>41516.800000000003</v>
      </c>
      <c r="H8" s="103">
        <v>1.1000000000000001</v>
      </c>
      <c r="I8" s="742">
        <f>G8*H8</f>
        <v>45668.48000000001</v>
      </c>
      <c r="K8" s="97" t="str">
        <f t="shared" si="1"/>
        <v>Direct Care III</v>
      </c>
      <c r="L8" s="104">
        <f t="shared" si="1"/>
        <v>41516.800000000003</v>
      </c>
      <c r="M8" s="103">
        <v>1.5</v>
      </c>
      <c r="N8" s="742">
        <f>L8*M8</f>
        <v>62275.200000000004</v>
      </c>
      <c r="P8" s="101" t="str">
        <f t="shared" si="2"/>
        <v>Direct Care III</v>
      </c>
      <c r="Q8" s="104">
        <f t="shared" si="2"/>
        <v>41516.800000000003</v>
      </c>
      <c r="R8" s="103">
        <v>1.8</v>
      </c>
      <c r="S8" s="742">
        <f>Q8*R8</f>
        <v>74730.240000000005</v>
      </c>
    </row>
    <row r="9" spans="2:19" ht="18.600000000000001" thickBot="1">
      <c r="B9" s="106" t="s">
        <v>166</v>
      </c>
      <c r="C9" s="107">
        <f>[9]Chart!C6</f>
        <v>32198.400000000001</v>
      </c>
      <c r="D9" s="738" t="s">
        <v>12</v>
      </c>
      <c r="F9" s="105" t="str">
        <f t="shared" si="0"/>
        <v xml:space="preserve">Direct Care </v>
      </c>
      <c r="G9" s="108">
        <f t="shared" si="0"/>
        <v>32198.400000000001</v>
      </c>
      <c r="H9" s="103">
        <v>0.2</v>
      </c>
      <c r="I9" s="742">
        <f>H9*G9</f>
        <v>6439.68</v>
      </c>
      <c r="K9" s="97" t="str">
        <f>F9</f>
        <v xml:space="preserve">Direct Care </v>
      </c>
      <c r="L9" s="104">
        <f>C8</f>
        <v>32198.400000000001</v>
      </c>
      <c r="M9" s="103">
        <v>0.25</v>
      </c>
      <c r="N9" s="742">
        <f>L9*M9</f>
        <v>8049.6</v>
      </c>
      <c r="P9" s="101" t="str">
        <f>K9</f>
        <v xml:space="preserve">Direct Care </v>
      </c>
      <c r="Q9" s="104">
        <f>C8</f>
        <v>32198.400000000001</v>
      </c>
      <c r="R9" s="103">
        <v>0.3</v>
      </c>
      <c r="S9" s="742">
        <f>Q9*R9</f>
        <v>9659.52</v>
      </c>
    </row>
    <row r="10" spans="2:19" ht="15" customHeight="1">
      <c r="B10" s="109"/>
      <c r="C10" s="110" t="s">
        <v>15</v>
      </c>
      <c r="D10" s="743"/>
      <c r="F10" s="111" t="str">
        <f t="shared" si="0"/>
        <v>Clerical</v>
      </c>
      <c r="G10" s="112">
        <f t="shared" si="0"/>
        <v>32198.400000000001</v>
      </c>
      <c r="H10" s="113">
        <v>0.1</v>
      </c>
      <c r="I10" s="744">
        <f>G10*H10</f>
        <v>3219.84</v>
      </c>
      <c r="K10" s="114" t="str">
        <f>B9</f>
        <v>Clerical</v>
      </c>
      <c r="L10" s="115">
        <f>C9</f>
        <v>32198.400000000001</v>
      </c>
      <c r="M10" s="113">
        <v>0.3</v>
      </c>
      <c r="N10" s="744">
        <f>L10*M10</f>
        <v>9659.52</v>
      </c>
      <c r="P10" s="111" t="str">
        <f>B9</f>
        <v>Clerical</v>
      </c>
      <c r="Q10" s="115">
        <f>C9</f>
        <v>32198.400000000001</v>
      </c>
      <c r="R10" s="113">
        <v>0.5</v>
      </c>
      <c r="S10" s="744">
        <f>Q10*R10</f>
        <v>16099.2</v>
      </c>
    </row>
    <row r="11" spans="2:19">
      <c r="B11" s="97" t="str">
        <f>B7</f>
        <v>Direct Care III</v>
      </c>
      <c r="C11" s="116">
        <v>1</v>
      </c>
      <c r="D11" s="745" t="s">
        <v>167</v>
      </c>
      <c r="F11" s="101"/>
      <c r="G11" s="117"/>
      <c r="H11" s="103"/>
      <c r="I11" s="742"/>
      <c r="K11" s="97"/>
      <c r="L11" s="104"/>
      <c r="M11" s="103"/>
      <c r="N11" s="742"/>
      <c r="P11" s="101"/>
      <c r="Q11" s="104"/>
      <c r="R11" s="103"/>
      <c r="S11" s="742"/>
    </row>
    <row r="12" spans="2:19" ht="16.2" customHeight="1">
      <c r="B12" s="99" t="str">
        <f>B8</f>
        <v xml:space="preserve">Direct Care </v>
      </c>
      <c r="C12" s="116">
        <v>1</v>
      </c>
      <c r="D12" s="745" t="s">
        <v>167</v>
      </c>
      <c r="F12" s="746" t="s">
        <v>16</v>
      </c>
      <c r="G12" s="118"/>
      <c r="H12" s="119">
        <f>SUM(H7:H10)</f>
        <v>1.6500000000000001</v>
      </c>
      <c r="I12" s="747">
        <f>SUM(I7:I10)</f>
        <v>69936.683487260016</v>
      </c>
      <c r="K12" s="746" t="s">
        <v>16</v>
      </c>
      <c r="L12" s="118"/>
      <c r="M12" s="119">
        <f>SUM(M7:M10)</f>
        <v>2.8</v>
      </c>
      <c r="N12" s="747">
        <f>SUM(N7:N10)</f>
        <v>123810.37046178001</v>
      </c>
      <c r="P12" s="746" t="s">
        <v>16</v>
      </c>
      <c r="Q12" s="118"/>
      <c r="R12" s="119">
        <f>SUM(R7:R10)</f>
        <v>3.5999999999999996</v>
      </c>
      <c r="S12" s="747">
        <f>SUM(S7:S10)</f>
        <v>158923.69394904</v>
      </c>
    </row>
    <row r="13" spans="2:19" ht="18.600000000000001" thickBot="1">
      <c r="B13" s="106" t="str">
        <f>B9</f>
        <v>Clerical</v>
      </c>
      <c r="C13" s="120">
        <v>1</v>
      </c>
      <c r="D13" s="748" t="s">
        <v>167</v>
      </c>
      <c r="F13" s="750" t="s">
        <v>168</v>
      </c>
      <c r="G13" s="122">
        <f>C14</f>
        <v>0.224</v>
      </c>
      <c r="H13" s="123"/>
      <c r="I13" s="742">
        <f>I12*G13</f>
        <v>15665.817101146244</v>
      </c>
      <c r="K13" s="750" t="s">
        <v>168</v>
      </c>
      <c r="L13" s="122">
        <f>C14</f>
        <v>0.224</v>
      </c>
      <c r="M13" s="123"/>
      <c r="N13" s="742">
        <f>N12*L13</f>
        <v>27733.522983438725</v>
      </c>
      <c r="P13" s="750" t="s">
        <v>168</v>
      </c>
      <c r="Q13" s="122">
        <f>C14</f>
        <v>0.224</v>
      </c>
      <c r="R13" s="123"/>
      <c r="S13" s="742">
        <f>S12*Q13</f>
        <v>35598.907444584962</v>
      </c>
    </row>
    <row r="14" spans="2:19" ht="18.600000000000001" thickBot="1">
      <c r="B14" s="124" t="s">
        <v>168</v>
      </c>
      <c r="C14" s="125">
        <v>0.224</v>
      </c>
      <c r="D14" s="751" t="s">
        <v>26</v>
      </c>
      <c r="F14" s="752" t="s">
        <v>39</v>
      </c>
      <c r="G14" s="753">
        <f>C26</f>
        <v>3.7000000000000002E-3</v>
      </c>
      <c r="H14" s="754"/>
      <c r="I14" s="755">
        <f>I12*G14</f>
        <v>258.76572890286207</v>
      </c>
      <c r="K14" s="752" t="s">
        <v>39</v>
      </c>
      <c r="L14" s="753">
        <f>G14</f>
        <v>3.7000000000000002E-3</v>
      </c>
      <c r="M14" s="754"/>
      <c r="N14" s="755">
        <f>N12*L14</f>
        <v>458.09837070858606</v>
      </c>
      <c r="P14" s="752" t="s">
        <v>39</v>
      </c>
      <c r="Q14" s="753">
        <f>L14</f>
        <v>3.7000000000000002E-3</v>
      </c>
      <c r="R14" s="754"/>
      <c r="S14" s="755">
        <f>S12*Q14</f>
        <v>588.01766761144802</v>
      </c>
    </row>
    <row r="15" spans="2:19">
      <c r="B15" s="126"/>
      <c r="C15" s="127" t="s">
        <v>169</v>
      </c>
      <c r="D15" s="745"/>
      <c r="F15" s="746" t="s">
        <v>23</v>
      </c>
      <c r="G15" s="118"/>
      <c r="H15" s="756"/>
      <c r="I15" s="747">
        <f>I12+I13+I14</f>
        <v>85861.266317309113</v>
      </c>
      <c r="K15" s="746" t="s">
        <v>23</v>
      </c>
      <c r="L15" s="118"/>
      <c r="M15" s="756"/>
      <c r="N15" s="747">
        <f>N12+N13+N14</f>
        <v>152001.99181592732</v>
      </c>
      <c r="P15" s="746" t="s">
        <v>23</v>
      </c>
      <c r="Q15" s="118"/>
      <c r="R15" s="756"/>
      <c r="S15" s="747">
        <f>S12+S13+S14</f>
        <v>195110.61906123642</v>
      </c>
    </row>
    <row r="16" spans="2:19">
      <c r="B16" s="757" t="s">
        <v>27</v>
      </c>
      <c r="C16" s="128">
        <f>3566*(3.14%+1)*(2.68%+1)</f>
        <v>3776.5420603200005</v>
      </c>
      <c r="D16" s="738" t="s">
        <v>164</v>
      </c>
      <c r="F16" s="758"/>
      <c r="G16" s="121"/>
      <c r="H16" s="759" t="s">
        <v>170</v>
      </c>
      <c r="I16" s="749"/>
      <c r="K16" s="758"/>
      <c r="L16" s="121"/>
      <c r="M16" s="759" t="s">
        <v>170</v>
      </c>
      <c r="N16" s="749"/>
      <c r="P16" s="758"/>
      <c r="Q16" s="121"/>
      <c r="R16" s="759" t="s">
        <v>170</v>
      </c>
      <c r="S16" s="749"/>
    </row>
    <row r="17" spans="1:19">
      <c r="B17" s="757" t="s">
        <v>171</v>
      </c>
      <c r="C17" s="128">
        <f>1243*(3.14%+1)*(2.68%+1)</f>
        <v>1316.3886093600001</v>
      </c>
      <c r="D17" s="745" t="s">
        <v>172</v>
      </c>
      <c r="F17" s="760" t="s">
        <v>27</v>
      </c>
      <c r="G17" s="761"/>
      <c r="H17" s="762">
        <f>C16</f>
        <v>3776.5420603200005</v>
      </c>
      <c r="I17" s="742">
        <f>$H$12*H17</f>
        <v>6231.2943995280011</v>
      </c>
      <c r="K17" s="760" t="s">
        <v>27</v>
      </c>
      <c r="L17" s="761"/>
      <c r="M17" s="762">
        <f>H17</f>
        <v>3776.5420603200005</v>
      </c>
      <c r="N17" s="742">
        <f>M17*M12</f>
        <v>10574.317768896</v>
      </c>
      <c r="P17" s="760" t="s">
        <v>27</v>
      </c>
      <c r="Q17" s="121"/>
      <c r="R17" s="762">
        <f>M17</f>
        <v>3776.5420603200005</v>
      </c>
      <c r="S17" s="742">
        <f>$R$12*R17</f>
        <v>13595.551417152001</v>
      </c>
    </row>
    <row r="18" spans="1:19">
      <c r="B18" s="757" t="s">
        <v>173</v>
      </c>
      <c r="C18" s="128">
        <f>803*(3.14%+1)*(2.68%+1)</f>
        <v>850.41034056000012</v>
      </c>
      <c r="D18" s="738" t="s">
        <v>164</v>
      </c>
      <c r="F18" s="760" t="str">
        <f>B17</f>
        <v>Admin of Placement</v>
      </c>
      <c r="G18" s="761"/>
      <c r="H18" s="762">
        <f>C17</f>
        <v>1316.3886093600001</v>
      </c>
      <c r="I18" s="742">
        <f>$H$18*H12</f>
        <v>2172.0412054440003</v>
      </c>
      <c r="K18" s="760" t="str">
        <f>B17</f>
        <v>Admin of Placement</v>
      </c>
      <c r="L18" s="761"/>
      <c r="M18" s="762">
        <f>C17</f>
        <v>1316.3886093600001</v>
      </c>
      <c r="N18" s="742">
        <f>M18*M12</f>
        <v>3685.888106208</v>
      </c>
      <c r="P18" s="760" t="str">
        <f>B17</f>
        <v>Admin of Placement</v>
      </c>
      <c r="Q18" s="121"/>
      <c r="R18" s="762">
        <f>C17</f>
        <v>1316.3886093600001</v>
      </c>
      <c r="S18" s="742">
        <f>R18*R12</f>
        <v>4738.9989936960001</v>
      </c>
    </row>
    <row r="19" spans="1:19">
      <c r="B19" s="757" t="s">
        <v>174</v>
      </c>
      <c r="C19" s="128">
        <f>2199*(3.14%+1)*(2.68%+1)</f>
        <v>2328.8323024799997</v>
      </c>
      <c r="D19" s="738" t="s">
        <v>164</v>
      </c>
      <c r="F19" s="760" t="s">
        <v>173</v>
      </c>
      <c r="G19" s="761"/>
      <c r="H19" s="762">
        <f>C18</f>
        <v>850.41034056000012</v>
      </c>
      <c r="I19" s="742">
        <f>$H$12*H19</f>
        <v>1403.1770619240003</v>
      </c>
      <c r="K19" s="760" t="s">
        <v>173</v>
      </c>
      <c r="L19" s="761"/>
      <c r="M19" s="762">
        <f>H19</f>
        <v>850.41034056000012</v>
      </c>
      <c r="N19" s="742">
        <f>M12*M19</f>
        <v>2381.1489535680003</v>
      </c>
      <c r="P19" s="760" t="s">
        <v>173</v>
      </c>
      <c r="Q19" s="121"/>
      <c r="R19" s="762">
        <f>M19</f>
        <v>850.41034056000012</v>
      </c>
      <c r="S19" s="742">
        <f t="shared" ref="S19:S23" si="3">$R$12*R19</f>
        <v>3061.4772260160003</v>
      </c>
    </row>
    <row r="20" spans="1:19">
      <c r="B20" s="757" t="s">
        <v>175</v>
      </c>
      <c r="C20" s="128">
        <f>316*(3.14%+1)*(2.68%+1)</f>
        <v>334.65712032000005</v>
      </c>
      <c r="D20" s="738" t="s">
        <v>164</v>
      </c>
      <c r="F20" s="760" t="s">
        <v>176</v>
      </c>
      <c r="G20" s="761"/>
      <c r="H20" s="762">
        <f>C19</f>
        <v>2328.8323024799997</v>
      </c>
      <c r="I20" s="742">
        <f>$H$12*H20</f>
        <v>3842.5732990920001</v>
      </c>
      <c r="K20" s="760" t="s">
        <v>176</v>
      </c>
      <c r="L20" s="761"/>
      <c r="M20" s="762">
        <f>H20</f>
        <v>2328.8323024799997</v>
      </c>
      <c r="N20" s="742">
        <f>M20*M12</f>
        <v>6520.7304469439987</v>
      </c>
      <c r="P20" s="760" t="s">
        <v>176</v>
      </c>
      <c r="Q20" s="121"/>
      <c r="R20" s="762">
        <f>M20</f>
        <v>2328.8323024799997</v>
      </c>
      <c r="S20" s="742">
        <f t="shared" si="3"/>
        <v>8383.7962889279988</v>
      </c>
    </row>
    <row r="21" spans="1:19">
      <c r="B21" s="757" t="s">
        <v>177</v>
      </c>
      <c r="C21" s="128">
        <f>3205*(3.14%+1)*(2.68%+1)</f>
        <v>3394.2280716</v>
      </c>
      <c r="D21" s="738" t="s">
        <v>164</v>
      </c>
      <c r="F21" s="760" t="s">
        <v>175</v>
      </c>
      <c r="G21" s="761"/>
      <c r="H21" s="762">
        <f>C20</f>
        <v>334.65712032000005</v>
      </c>
      <c r="I21" s="742">
        <f>$H$12*H21</f>
        <v>552.18424852800013</v>
      </c>
      <c r="K21" s="760" t="s">
        <v>175</v>
      </c>
      <c r="L21" s="761"/>
      <c r="M21" s="762">
        <f>H21</f>
        <v>334.65712032000005</v>
      </c>
      <c r="N21" s="742">
        <f>M21*M12</f>
        <v>937.03993689600009</v>
      </c>
      <c r="P21" s="760" t="s">
        <v>175</v>
      </c>
      <c r="Q21" s="121"/>
      <c r="R21" s="762">
        <f>M21</f>
        <v>334.65712032000005</v>
      </c>
      <c r="S21" s="742">
        <f t="shared" si="3"/>
        <v>1204.765633152</v>
      </c>
    </row>
    <row r="22" spans="1:19">
      <c r="B22" s="757" t="s">
        <v>178</v>
      </c>
      <c r="C22" s="128">
        <f>1302*(3.14%+1)*(2.68%+1)</f>
        <v>1378.8720590400001</v>
      </c>
      <c r="D22" s="738" t="s">
        <v>164</v>
      </c>
      <c r="F22" s="760" t="s">
        <v>177</v>
      </c>
      <c r="G22" s="761"/>
      <c r="H22" s="762">
        <f>C21</f>
        <v>3394.2280716</v>
      </c>
      <c r="I22" s="742">
        <f>$H$12*H22</f>
        <v>5600.4763181400003</v>
      </c>
      <c r="K22" s="760" t="s">
        <v>177</v>
      </c>
      <c r="L22" s="761"/>
      <c r="M22" s="762">
        <f>H22</f>
        <v>3394.2280716</v>
      </c>
      <c r="N22" s="742">
        <f>M22*M12</f>
        <v>9503.8386004799995</v>
      </c>
      <c r="P22" s="760" t="s">
        <v>177</v>
      </c>
      <c r="Q22" s="121"/>
      <c r="R22" s="762">
        <f>M22</f>
        <v>3394.2280716</v>
      </c>
      <c r="S22" s="742">
        <f t="shared" si="3"/>
        <v>12219.221057759998</v>
      </c>
    </row>
    <row r="23" spans="1:19">
      <c r="B23" s="757" t="s">
        <v>179</v>
      </c>
      <c r="C23" s="128">
        <f>5000*(3.14%+1)*(2.68%+1)</f>
        <v>5295.2076000000006</v>
      </c>
      <c r="D23" s="745" t="s">
        <v>172</v>
      </c>
      <c r="F23" s="760" t="s">
        <v>178</v>
      </c>
      <c r="G23" s="761"/>
      <c r="H23" s="762">
        <f>C22</f>
        <v>1378.8720590400001</v>
      </c>
      <c r="I23" s="742">
        <f>$H$12*H23</f>
        <v>2275.1388974160004</v>
      </c>
      <c r="K23" s="760" t="s">
        <v>178</v>
      </c>
      <c r="L23" s="761"/>
      <c r="M23" s="762">
        <f>H23</f>
        <v>1378.8720590400001</v>
      </c>
      <c r="N23" s="742">
        <f>M23*M12</f>
        <v>3860.841765312</v>
      </c>
      <c r="P23" s="760" t="s">
        <v>178</v>
      </c>
      <c r="Q23" s="121"/>
      <c r="R23" s="762">
        <f>M23</f>
        <v>1378.8720590400001</v>
      </c>
      <c r="S23" s="742">
        <f t="shared" si="3"/>
        <v>4963.9394125439994</v>
      </c>
    </row>
    <row r="24" spans="1:19" ht="18.600000000000001" thickBot="1">
      <c r="B24" s="763" t="s">
        <v>180</v>
      </c>
      <c r="C24" s="764">
        <v>0.12</v>
      </c>
      <c r="D24" s="765" t="s">
        <v>34</v>
      </c>
      <c r="F24" s="760" t="s">
        <v>179</v>
      </c>
      <c r="G24" s="761"/>
      <c r="H24" s="766"/>
      <c r="I24" s="742">
        <f>C23</f>
        <v>5295.2076000000006</v>
      </c>
      <c r="K24" s="760" t="s">
        <v>179</v>
      </c>
      <c r="L24" s="761"/>
      <c r="M24" s="762"/>
      <c r="N24" s="742">
        <f>C23</f>
        <v>5295.2076000000006</v>
      </c>
      <c r="P24" s="760" t="s">
        <v>179</v>
      </c>
      <c r="Q24" s="121"/>
      <c r="R24" s="762"/>
      <c r="S24" s="742">
        <f>C23</f>
        <v>5295.2076000000006</v>
      </c>
    </row>
    <row r="25" spans="1:19" ht="18.600000000000001" thickBot="1">
      <c r="B25" s="767" t="s">
        <v>36</v>
      </c>
      <c r="C25" s="768">
        <f>'[9]CAF Fall 2020'!CA25</f>
        <v>1.9959404600811814E-2</v>
      </c>
      <c r="D25" s="769" t="s">
        <v>339</v>
      </c>
      <c r="F25" s="746" t="s">
        <v>35</v>
      </c>
      <c r="G25" s="118"/>
      <c r="H25" s="118"/>
      <c r="I25" s="747">
        <f>SUM(I15:I24)</f>
        <v>113233.35934738112</v>
      </c>
      <c r="K25" s="746" t="s">
        <v>35</v>
      </c>
      <c r="L25" s="118"/>
      <c r="M25" s="118"/>
      <c r="N25" s="747">
        <f>SUM(N15:N24)</f>
        <v>194761.00499423131</v>
      </c>
      <c r="P25" s="746" t="s">
        <v>35</v>
      </c>
      <c r="Q25" s="118"/>
      <c r="R25" s="118"/>
      <c r="S25" s="747">
        <f>SUM(S15:S24)</f>
        <v>248573.57669048439</v>
      </c>
    </row>
    <row r="26" spans="1:19" ht="18.600000000000001" thickBot="1">
      <c r="B26" s="773" t="s">
        <v>39</v>
      </c>
      <c r="C26" s="774">
        <v>3.7000000000000002E-3</v>
      </c>
      <c r="D26" s="775" t="s">
        <v>40</v>
      </c>
      <c r="F26" s="770" t="s">
        <v>182</v>
      </c>
      <c r="G26" s="129">
        <f>C24</f>
        <v>0.12</v>
      </c>
      <c r="H26" s="771"/>
      <c r="I26" s="772">
        <f>I25*G26</f>
        <v>13588.003121685733</v>
      </c>
      <c r="K26" s="770" t="s">
        <v>182</v>
      </c>
      <c r="L26" s="129">
        <f>C24</f>
        <v>0.12</v>
      </c>
      <c r="M26" s="771"/>
      <c r="N26" s="772">
        <f>N25*L26</f>
        <v>23371.320599307757</v>
      </c>
      <c r="P26" s="130" t="s">
        <v>182</v>
      </c>
      <c r="Q26" s="131">
        <f>C24</f>
        <v>0.12</v>
      </c>
      <c r="R26" s="132"/>
      <c r="S26" s="133">
        <f>S25*Q26</f>
        <v>29828.829202858127</v>
      </c>
    </row>
    <row r="27" spans="1:19" ht="18.600000000000001" thickTop="1">
      <c r="F27" s="776" t="s">
        <v>41</v>
      </c>
      <c r="G27" s="777"/>
      <c r="H27" s="778"/>
      <c r="I27" s="779">
        <f>I25+I26</f>
        <v>126821.36246906685</v>
      </c>
      <c r="K27" s="780" t="s">
        <v>41</v>
      </c>
      <c r="L27" s="781"/>
      <c r="M27" s="782"/>
      <c r="N27" s="779">
        <f>N25+N26</f>
        <v>218132.32559353905</v>
      </c>
      <c r="P27" s="780" t="s">
        <v>41</v>
      </c>
      <c r="Q27" s="777"/>
      <c r="R27" s="778"/>
      <c r="S27" s="779">
        <f>S25+S26</f>
        <v>278402.40589334251</v>
      </c>
    </row>
    <row r="28" spans="1:19" ht="18.600000000000001" thickBot="1">
      <c r="F28" s="783" t="str">
        <f>B25</f>
        <v>Rate review CAF FY22</v>
      </c>
      <c r="G28" s="134">
        <f>C25</f>
        <v>1.9959404600811814E-2</v>
      </c>
      <c r="H28" s="784"/>
      <c r="I28" s="785">
        <f>(I27-I12)*G28</f>
        <v>1135.3843233851785</v>
      </c>
      <c r="K28" s="786" t="str">
        <f>F28</f>
        <v>Rate review CAF FY22</v>
      </c>
      <c r="L28" s="787">
        <f>C25</f>
        <v>1.9959404600811814E-2</v>
      </c>
      <c r="M28" s="788"/>
      <c r="N28" s="789">
        <f>(N27-N12)*L28</f>
        <v>1882.6100652143969</v>
      </c>
      <c r="P28" s="786" t="str">
        <f>B25</f>
        <v>Rate review CAF FY22</v>
      </c>
      <c r="Q28" s="787">
        <f>C25</f>
        <v>1.9959404600811814E-2</v>
      </c>
      <c r="R28" s="788"/>
      <c r="S28" s="789">
        <f>(S27-S12)*Q28</f>
        <v>2384.7239528801811</v>
      </c>
    </row>
    <row r="29" spans="1:19" ht="18.600000000000001" thickBot="1">
      <c r="F29" s="790" t="s">
        <v>42</v>
      </c>
      <c r="G29" s="134"/>
      <c r="H29" s="784"/>
      <c r="I29" s="785">
        <f>I27+I28</f>
        <v>127956.74679245203</v>
      </c>
      <c r="K29" s="790" t="s">
        <v>42</v>
      </c>
      <c r="L29" s="134"/>
      <c r="M29" s="784"/>
      <c r="N29" s="785">
        <f>N27+N28</f>
        <v>220014.93565875344</v>
      </c>
      <c r="P29" s="790" t="s">
        <v>42</v>
      </c>
      <c r="Q29" s="134"/>
      <c r="R29" s="784"/>
      <c r="S29" s="785">
        <f>S27+S28</f>
        <v>280787.1298462227</v>
      </c>
    </row>
    <row r="30" spans="1:19" ht="18.600000000000001" thickBot="1">
      <c r="F30" s="792" t="s">
        <v>183</v>
      </c>
      <c r="G30" s="793"/>
      <c r="H30" s="793"/>
      <c r="I30" s="794">
        <f>I29/12</f>
        <v>10663.062232704337</v>
      </c>
      <c r="K30" s="792" t="s">
        <v>183</v>
      </c>
      <c r="L30" s="774"/>
      <c r="M30" s="795"/>
      <c r="N30" s="796">
        <f>N29/12</f>
        <v>18334.577971562787</v>
      </c>
      <c r="P30" s="792" t="s">
        <v>183</v>
      </c>
      <c r="Q30" s="774"/>
      <c r="R30" s="795"/>
      <c r="S30" s="796">
        <f>S29/12</f>
        <v>23398.927487185225</v>
      </c>
    </row>
    <row r="31" spans="1:19">
      <c r="A31" s="791"/>
    </row>
    <row r="32" spans="1:19">
      <c r="A32" s="791"/>
      <c r="I32" s="797"/>
      <c r="N32" s="797"/>
      <c r="S32" s="797"/>
    </row>
    <row r="33" spans="1:19">
      <c r="A33" s="791"/>
      <c r="I33" s="799"/>
      <c r="N33" s="799"/>
      <c r="S33" s="799"/>
    </row>
    <row r="34" spans="1:19" ht="21" hidden="1">
      <c r="A34" s="798"/>
      <c r="H34" s="799"/>
      <c r="M34" s="799"/>
      <c r="N34" s="801"/>
    </row>
    <row r="35" spans="1:19" hidden="1">
      <c r="A35" s="800"/>
      <c r="B35" s="97"/>
      <c r="C35" s="100"/>
      <c r="D35" s="805"/>
      <c r="O35" s="803"/>
    </row>
    <row r="36" spans="1:19" hidden="1">
      <c r="A36" s="802"/>
      <c r="B36" s="99"/>
      <c r="C36" s="100"/>
      <c r="D36" s="806"/>
      <c r="I36" s="803"/>
      <c r="J36" s="803"/>
      <c r="K36" s="803"/>
      <c r="L36" s="803"/>
      <c r="M36" s="803"/>
      <c r="N36" s="803"/>
      <c r="Q36" s="799"/>
    </row>
    <row r="37" spans="1:19" ht="18.600000000000001" hidden="1" thickBot="1">
      <c r="A37" s="804"/>
      <c r="B37" s="106"/>
      <c r="C37" s="107"/>
      <c r="D37" s="807"/>
    </row>
    <row r="38" spans="1:19" hidden="1">
      <c r="A38" s="791"/>
      <c r="B38" s="791"/>
      <c r="C38" s="128"/>
      <c r="D38" s="135"/>
      <c r="P38" s="803"/>
      <c r="Q38" s="803"/>
      <c r="R38" s="803"/>
      <c r="S38" s="803"/>
    </row>
    <row r="39" spans="1:19" hidden="1">
      <c r="A39" s="791"/>
      <c r="B39" s="791"/>
      <c r="C39" s="128"/>
      <c r="D39" s="135"/>
    </row>
    <row r="40" spans="1:19" hidden="1">
      <c r="A40" s="791"/>
      <c r="B40" s="791"/>
      <c r="C40" s="128"/>
      <c r="D40" s="135"/>
    </row>
    <row r="41" spans="1:19" hidden="1">
      <c r="B41" s="791"/>
      <c r="C41" s="128"/>
      <c r="D41" s="135"/>
    </row>
    <row r="42" spans="1:19" hidden="1">
      <c r="B42" s="791"/>
      <c r="C42" s="128"/>
      <c r="D42" s="135"/>
    </row>
    <row r="43" spans="1:19" hidden="1">
      <c r="B43" s="791"/>
      <c r="C43" s="128"/>
      <c r="D43" s="135"/>
    </row>
    <row r="44" spans="1:19" hidden="1">
      <c r="B44" s="791"/>
      <c r="C44" s="128"/>
      <c r="D44" s="135"/>
    </row>
    <row r="45" spans="1:19" hidden="1">
      <c r="B45" s="791"/>
      <c r="C45" s="128"/>
      <c r="D45" s="135"/>
    </row>
    <row r="46" spans="1:19" hidden="1">
      <c r="B46" s="800"/>
      <c r="C46" s="753"/>
      <c r="D46" s="808"/>
    </row>
    <row r="47" spans="1:19" hidden="1">
      <c r="B47" s="809"/>
      <c r="C47" s="810"/>
      <c r="D47" s="808"/>
      <c r="I47" s="799"/>
      <c r="N47" s="799"/>
      <c r="S47" s="799"/>
    </row>
  </sheetData>
  <mergeCells count="12">
    <mergeCell ref="B5:C5"/>
    <mergeCell ref="G5:H5"/>
    <mergeCell ref="L5:M5"/>
    <mergeCell ref="Q5:R5"/>
    <mergeCell ref="B3:D3"/>
    <mergeCell ref="F3:I3"/>
    <mergeCell ref="K3:N3"/>
    <mergeCell ref="P3:S3"/>
    <mergeCell ref="B4:D4"/>
    <mergeCell ref="F4:I4"/>
    <mergeCell ref="K4:N4"/>
    <mergeCell ref="P4:S4"/>
  </mergeCells>
  <pageMargins left="0.25" right="0.25" top="0.75" bottom="0.75" header="0.3" footer="0.3"/>
  <pageSetup scale="53" orientation="landscape" r:id="rId1"/>
  <ignoredErrors>
    <ignoredError sqref="I28 N28 S28 K18:S18 I9 K9 P9 I18 J19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39"/>
  <sheetViews>
    <sheetView zoomScale="64" zoomScaleNormal="64" workbookViewId="0">
      <selection activeCell="I35" sqref="I35"/>
    </sheetView>
  </sheetViews>
  <sheetFormatPr defaultColWidth="8.6640625" defaultRowHeight="18"/>
  <cols>
    <col min="1" max="1" width="8.6640625" style="731"/>
    <col min="2" max="2" width="47.33203125" style="731" customWidth="1"/>
    <col min="3" max="3" width="12.44140625" style="731" customWidth="1"/>
    <col min="4" max="4" width="43.5546875" style="731" bestFit="1" customWidth="1"/>
    <col min="5" max="5" width="2.6640625" style="731" customWidth="1"/>
    <col min="6" max="6" width="2" style="731" customWidth="1"/>
    <col min="7" max="7" width="32.33203125" style="731" customWidth="1"/>
    <col min="8" max="8" width="15.6640625" style="731" customWidth="1"/>
    <col min="9" max="9" width="9" style="731" bestFit="1" customWidth="1"/>
    <col min="10" max="10" width="11.44140625" style="731" bestFit="1" customWidth="1"/>
    <col min="11" max="11" width="3.6640625" style="731" customWidth="1"/>
    <col min="12" max="12" width="32.44140625" style="731" customWidth="1"/>
    <col min="13" max="13" width="11.6640625" style="731" customWidth="1"/>
    <col min="14" max="14" width="9.44140625" style="731" bestFit="1" customWidth="1"/>
    <col min="15" max="15" width="11.44140625" style="731" bestFit="1" customWidth="1"/>
    <col min="16" max="16" width="8.6640625" style="731"/>
    <col min="17" max="17" width="20" style="731" hidden="1" customWidth="1"/>
    <col min="18" max="18" width="6.6640625" style="731" hidden="1" customWidth="1"/>
    <col min="19" max="19" width="0" style="731" hidden="1" customWidth="1"/>
    <col min="20" max="20" width="11.44140625" style="731" hidden="1" customWidth="1"/>
    <col min="21" max="21" width="13" style="754" bestFit="1" customWidth="1"/>
    <col min="22" max="22" width="18.44140625" style="754" customWidth="1"/>
    <col min="23" max="25" width="8.6640625" style="754"/>
    <col min="26" max="16384" width="8.6640625" style="731"/>
  </cols>
  <sheetData>
    <row r="1" spans="2:22" s="754" customFormat="1" ht="18.600000000000001" thickBot="1"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  <c r="N1" s="731"/>
      <c r="O1" s="731"/>
      <c r="P1" s="731"/>
      <c r="Q1" s="731"/>
      <c r="R1" s="731"/>
      <c r="S1" s="731"/>
      <c r="T1" s="731"/>
    </row>
    <row r="2" spans="2:22" s="754" customFormat="1" ht="18.600000000000001" thickBot="1">
      <c r="B2" s="811" t="s">
        <v>240</v>
      </c>
      <c r="C2" s="812"/>
      <c r="D2" s="813"/>
      <c r="E2" s="731"/>
      <c r="F2" s="731"/>
      <c r="G2" s="173" t="s">
        <v>241</v>
      </c>
      <c r="H2" s="174"/>
      <c r="I2" s="174"/>
      <c r="J2" s="175"/>
      <c r="K2" s="731"/>
      <c r="L2" s="173" t="s">
        <v>241</v>
      </c>
      <c r="M2" s="174"/>
      <c r="N2" s="174"/>
      <c r="O2" s="175"/>
      <c r="P2" s="731"/>
      <c r="Q2" s="173" t="s">
        <v>241</v>
      </c>
      <c r="R2" s="174"/>
      <c r="S2" s="174"/>
      <c r="T2" s="175"/>
    </row>
    <row r="3" spans="2:22" s="754" customFormat="1" ht="18.600000000000001" thickBot="1">
      <c r="B3" s="814" t="s">
        <v>242</v>
      </c>
      <c r="C3" s="815" t="s">
        <v>5</v>
      </c>
      <c r="D3" s="816" t="s">
        <v>4</v>
      </c>
      <c r="E3" s="731"/>
      <c r="F3" s="731"/>
      <c r="G3" s="173" t="s">
        <v>243</v>
      </c>
      <c r="H3" s="174"/>
      <c r="I3" s="174"/>
      <c r="J3" s="175"/>
      <c r="K3" s="731"/>
      <c r="L3" s="173" t="s">
        <v>244</v>
      </c>
      <c r="M3" s="174"/>
      <c r="N3" s="174"/>
      <c r="O3" s="175"/>
      <c r="P3" s="731"/>
      <c r="Q3" s="173" t="s">
        <v>245</v>
      </c>
      <c r="R3" s="174"/>
      <c r="S3" s="174"/>
      <c r="T3" s="175"/>
      <c r="U3" s="817"/>
    </row>
    <row r="4" spans="2:22" s="754" customFormat="1">
      <c r="B4" s="818" t="s">
        <v>9</v>
      </c>
      <c r="C4" s="819">
        <f>72777*(4.28%+1)*(2.68%+1)</f>
        <v>77925.757330079985</v>
      </c>
      <c r="D4" s="820" t="s">
        <v>164</v>
      </c>
      <c r="E4" s="731"/>
      <c r="F4" s="731"/>
      <c r="G4" s="735"/>
      <c r="H4" s="736" t="s">
        <v>246</v>
      </c>
      <c r="I4" s="736"/>
      <c r="J4" s="737">
        <v>1</v>
      </c>
      <c r="K4" s="731"/>
      <c r="L4" s="735"/>
      <c r="M4" s="736" t="s">
        <v>246</v>
      </c>
      <c r="N4" s="736"/>
      <c r="O4" s="737">
        <v>5</v>
      </c>
      <c r="P4" s="731"/>
      <c r="Q4" s="735"/>
      <c r="R4" s="736" t="s">
        <v>246</v>
      </c>
      <c r="S4" s="736"/>
      <c r="T4" s="821">
        <v>10</v>
      </c>
      <c r="U4" s="822"/>
      <c r="V4" s="817"/>
    </row>
    <row r="5" spans="2:22" s="754" customFormat="1">
      <c r="B5" s="823" t="s">
        <v>247</v>
      </c>
      <c r="C5" s="824">
        <f>[16]Chart!C8</f>
        <v>41516.800000000003</v>
      </c>
      <c r="D5" s="820" t="s">
        <v>12</v>
      </c>
      <c r="E5" s="731"/>
      <c r="F5" s="731"/>
      <c r="G5" s="758" t="s">
        <v>165</v>
      </c>
      <c r="H5" s="825" t="s">
        <v>5</v>
      </c>
      <c r="I5" s="825" t="s">
        <v>6</v>
      </c>
      <c r="J5" s="826" t="s">
        <v>7</v>
      </c>
      <c r="K5" s="731"/>
      <c r="L5" s="758" t="s">
        <v>165</v>
      </c>
      <c r="M5" s="825" t="s">
        <v>5</v>
      </c>
      <c r="N5" s="825" t="s">
        <v>6</v>
      </c>
      <c r="O5" s="826" t="s">
        <v>7</v>
      </c>
      <c r="P5" s="731"/>
      <c r="Q5" s="758" t="s">
        <v>165</v>
      </c>
      <c r="R5" s="825" t="s">
        <v>5</v>
      </c>
      <c r="S5" s="825" t="s">
        <v>6</v>
      </c>
      <c r="T5" s="825" t="s">
        <v>7</v>
      </c>
      <c r="U5" s="827"/>
      <c r="V5" s="828"/>
    </row>
    <row r="6" spans="2:22" s="754" customFormat="1" ht="18.600000000000001" thickBot="1">
      <c r="B6" s="829" t="s">
        <v>248</v>
      </c>
      <c r="C6" s="830">
        <f>[16]Chart!C6</f>
        <v>32198.400000000001</v>
      </c>
      <c r="D6" s="831" t="s">
        <v>12</v>
      </c>
      <c r="E6" s="731"/>
      <c r="F6" s="731"/>
      <c r="G6" s="832" t="str">
        <f t="shared" ref="G6:H8" si="0">B4</f>
        <v>Management</v>
      </c>
      <c r="H6" s="176">
        <f t="shared" si="0"/>
        <v>77925.757330079985</v>
      </c>
      <c r="I6" s="177">
        <v>0.02</v>
      </c>
      <c r="J6" s="833">
        <f>H6*I6</f>
        <v>1558.5151466015998</v>
      </c>
      <c r="K6" s="731"/>
      <c r="L6" s="832" t="str">
        <f>B4</f>
        <v>Management</v>
      </c>
      <c r="M6" s="176">
        <f>C4</f>
        <v>77925.757330079985</v>
      </c>
      <c r="N6" s="177">
        <v>0.15</v>
      </c>
      <c r="O6" s="833">
        <f>M6*N6</f>
        <v>11688.863599511997</v>
      </c>
      <c r="P6" s="731"/>
      <c r="Q6" s="832" t="s">
        <v>249</v>
      </c>
      <c r="R6" s="176">
        <f>C4</f>
        <v>77925.757330079985</v>
      </c>
      <c r="S6" s="177">
        <v>0.13</v>
      </c>
      <c r="T6" s="834">
        <f>R6*S6</f>
        <v>10130.348452910399</v>
      </c>
      <c r="U6" s="835"/>
      <c r="V6" s="828"/>
    </row>
    <row r="7" spans="2:22" s="754" customFormat="1">
      <c r="B7" s="836"/>
      <c r="C7" s="837"/>
      <c r="D7" s="838"/>
      <c r="E7" s="731"/>
      <c r="F7" s="731"/>
      <c r="G7" s="101" t="str">
        <f t="shared" si="0"/>
        <v>Specialized Staff BA Level</v>
      </c>
      <c r="H7" s="178">
        <f t="shared" si="0"/>
        <v>41516.800000000003</v>
      </c>
      <c r="I7" s="103">
        <v>0.1</v>
      </c>
      <c r="J7" s="839">
        <f t="shared" ref="J7" si="1">H7*I7</f>
        <v>4151.68</v>
      </c>
      <c r="K7" s="731"/>
      <c r="L7" s="101" t="str">
        <f>B5</f>
        <v>Specialized Staff BA Level</v>
      </c>
      <c r="M7" s="178">
        <f>C5</f>
        <v>41516.800000000003</v>
      </c>
      <c r="N7" s="103">
        <v>0.5</v>
      </c>
      <c r="O7" s="839">
        <f t="shared" ref="O7" si="2">M7*N7</f>
        <v>20758.400000000001</v>
      </c>
      <c r="P7" s="731"/>
      <c r="Q7" s="101" t="s">
        <v>250</v>
      </c>
      <c r="R7" s="178">
        <v>32208</v>
      </c>
      <c r="S7" s="103">
        <v>3.45</v>
      </c>
      <c r="T7" s="108">
        <f t="shared" ref="T7" si="3">R7*S7</f>
        <v>111117.6</v>
      </c>
      <c r="U7" s="835"/>
      <c r="V7" s="828"/>
    </row>
    <row r="8" spans="2:22" s="754" customFormat="1" ht="18.600000000000001" thickBot="1">
      <c r="B8" s="823" t="s">
        <v>251</v>
      </c>
      <c r="C8" s="840">
        <v>0.224</v>
      </c>
      <c r="D8" s="841" t="s">
        <v>26</v>
      </c>
      <c r="E8" s="731"/>
      <c r="F8" s="731"/>
      <c r="G8" s="842" t="str">
        <f t="shared" si="0"/>
        <v>Direct Care</v>
      </c>
      <c r="H8" s="178">
        <f t="shared" si="0"/>
        <v>32198.400000000001</v>
      </c>
      <c r="I8" s="179">
        <v>0.08</v>
      </c>
      <c r="J8" s="839">
        <f>H8*I8</f>
        <v>2575.8720000000003</v>
      </c>
      <c r="K8" s="731"/>
      <c r="L8" s="842" t="str">
        <f>G8</f>
        <v>Direct Care</v>
      </c>
      <c r="M8" s="178">
        <f>C6</f>
        <v>32198.400000000001</v>
      </c>
      <c r="N8" s="179">
        <v>0.3</v>
      </c>
      <c r="O8" s="839">
        <f>M8*N8</f>
        <v>9659.52</v>
      </c>
      <c r="P8" s="731"/>
      <c r="Q8" s="842" t="s">
        <v>166</v>
      </c>
      <c r="R8" s="178">
        <v>32954</v>
      </c>
      <c r="S8" s="179">
        <v>0.24</v>
      </c>
      <c r="T8" s="108">
        <f>R8*S8</f>
        <v>7908.96</v>
      </c>
      <c r="U8" s="835"/>
      <c r="V8" s="828"/>
    </row>
    <row r="9" spans="2:22" s="754" customFormat="1" ht="18.600000000000001" thickBot="1">
      <c r="B9" s="823"/>
      <c r="C9" s="843"/>
      <c r="D9" s="844"/>
      <c r="E9" s="731"/>
      <c r="F9" s="731"/>
      <c r="G9" s="927" t="s">
        <v>16</v>
      </c>
      <c r="H9" s="845"/>
      <c r="I9" s="846">
        <f>SUM(I6:I8)</f>
        <v>0.2</v>
      </c>
      <c r="J9" s="847">
        <f>SUM(J6:J8)</f>
        <v>8286.0671466015992</v>
      </c>
      <c r="K9" s="731"/>
      <c r="L9" s="927" t="s">
        <v>16</v>
      </c>
      <c r="M9" s="845"/>
      <c r="N9" s="846">
        <f>SUM(N6:N8)</f>
        <v>0.95</v>
      </c>
      <c r="O9" s="847">
        <f>SUM(O6:O8)</f>
        <v>42106.783599511997</v>
      </c>
      <c r="P9" s="731"/>
      <c r="Q9" s="848" t="s">
        <v>252</v>
      </c>
      <c r="R9" s="849"/>
      <c r="S9" s="850">
        <v>4.07</v>
      </c>
      <c r="T9" s="851">
        <f>SUM(T6:T8)</f>
        <v>129156.90845291041</v>
      </c>
      <c r="V9" s="828"/>
    </row>
    <row r="10" spans="2:22" s="754" customFormat="1" ht="1.2" customHeight="1" thickBot="1">
      <c r="B10" s="823"/>
      <c r="C10" s="824"/>
      <c r="D10" s="852"/>
      <c r="E10" s="731"/>
      <c r="F10" s="731"/>
      <c r="G10" s="921"/>
      <c r="H10" s="123"/>
      <c r="I10" s="853"/>
      <c r="J10" s="854"/>
      <c r="K10" s="731"/>
      <c r="L10" s="921"/>
      <c r="M10" s="123"/>
      <c r="N10" s="853"/>
      <c r="O10" s="854"/>
      <c r="P10" s="731"/>
      <c r="Q10" s="842" t="s">
        <v>168</v>
      </c>
      <c r="R10" s="122">
        <v>0.2301</v>
      </c>
      <c r="S10" s="855"/>
      <c r="T10" s="104">
        <f>T9*R10</f>
        <v>29719.004635014688</v>
      </c>
    </row>
    <row r="11" spans="2:22" s="754" customFormat="1" ht="28.8" customHeight="1">
      <c r="B11" s="928" t="s">
        <v>253</v>
      </c>
      <c r="C11" s="819">
        <f>850*(4.28%+1)*(2.68%+1)</f>
        <v>910.13498399999992</v>
      </c>
      <c r="D11" s="852" t="s">
        <v>254</v>
      </c>
      <c r="E11" s="731"/>
      <c r="F11" s="731"/>
      <c r="G11" s="750" t="s">
        <v>168</v>
      </c>
      <c r="H11" s="122">
        <f>C8</f>
        <v>0.224</v>
      </c>
      <c r="I11" s="855"/>
      <c r="J11" s="854">
        <f>J9*H11</f>
        <v>1856.0790408387584</v>
      </c>
      <c r="K11" s="731"/>
      <c r="L11" s="750" t="s">
        <v>168</v>
      </c>
      <c r="M11" s="122">
        <f>C8</f>
        <v>0.224</v>
      </c>
      <c r="N11" s="855"/>
      <c r="O11" s="854">
        <f>O9*M11</f>
        <v>9431.9195262906869</v>
      </c>
      <c r="P11" s="731"/>
      <c r="Q11" s="856" t="s">
        <v>255</v>
      </c>
      <c r="R11" s="857"/>
      <c r="S11" s="858"/>
      <c r="T11" s="859">
        <f>SUM(T9+T10)</f>
        <v>158875.91308792512</v>
      </c>
      <c r="U11" s="860"/>
    </row>
    <row r="12" spans="2:22" s="754" customFormat="1">
      <c r="B12" s="823" t="s">
        <v>256</v>
      </c>
      <c r="C12" s="840">
        <v>0.12</v>
      </c>
      <c r="D12" s="852" t="s">
        <v>257</v>
      </c>
      <c r="E12" s="731"/>
      <c r="F12" s="731"/>
      <c r="G12" s="922" t="s">
        <v>39</v>
      </c>
      <c r="H12" s="923">
        <f>C15</f>
        <v>3.7000000000000002E-3</v>
      </c>
      <c r="I12" s="924"/>
      <c r="J12" s="854">
        <f>J9*H12</f>
        <v>30.658448442425918</v>
      </c>
      <c r="K12" s="731"/>
      <c r="L12" s="922" t="s">
        <v>39</v>
      </c>
      <c r="M12" s="923">
        <f>C15</f>
        <v>3.7000000000000002E-3</v>
      </c>
      <c r="N12" s="855"/>
      <c r="O12" s="854">
        <f>O9*M12</f>
        <v>155.79509931819439</v>
      </c>
      <c r="P12" s="731"/>
      <c r="Q12" s="832" t="s">
        <v>27</v>
      </c>
      <c r="R12" s="861"/>
      <c r="S12" s="862"/>
      <c r="T12" s="863">
        <f>'[16]CSSI Contract Data'!W10*S9</f>
        <v>0</v>
      </c>
    </row>
    <row r="13" spans="2:22" s="754" customFormat="1" ht="18.600000000000001" thickBot="1">
      <c r="B13" s="757"/>
      <c r="D13" s="864"/>
      <c r="E13" s="731"/>
      <c r="F13" s="731"/>
      <c r="G13" s="927" t="s">
        <v>23</v>
      </c>
      <c r="H13" s="118"/>
      <c r="I13" s="865"/>
      <c r="J13" s="866">
        <f>J9+J11+J12</f>
        <v>10172.804635882783</v>
      </c>
      <c r="K13" s="731"/>
      <c r="L13" s="927" t="s">
        <v>23</v>
      </c>
      <c r="M13" s="118"/>
      <c r="N13" s="865"/>
      <c r="O13" s="866">
        <f>O9+O11+O12</f>
        <v>51694.498225120878</v>
      </c>
      <c r="P13" s="731"/>
      <c r="Q13" s="842" t="s">
        <v>176</v>
      </c>
      <c r="R13" s="121"/>
      <c r="S13" s="867"/>
      <c r="T13" s="868">
        <f>'[16]CSSI Contract Data'!W11*'[16]Model Budget old (CSSI)'!N10</f>
        <v>0</v>
      </c>
    </row>
    <row r="14" spans="2:22" s="754" customFormat="1" ht="18.600000000000001" thickBot="1">
      <c r="B14" s="871" t="s">
        <v>36</v>
      </c>
      <c r="C14" s="872">
        <f>'[16]CAF Fall 2020'!CA25</f>
        <v>1.9959404600811814E-2</v>
      </c>
      <c r="D14" s="873" t="s">
        <v>37</v>
      </c>
      <c r="E14" s="731"/>
      <c r="F14" s="731"/>
      <c r="G14" s="921"/>
      <c r="H14" s="121"/>
      <c r="I14" s="867"/>
      <c r="J14" s="869"/>
      <c r="K14" s="731"/>
      <c r="L14" s="921"/>
      <c r="M14" s="121"/>
      <c r="N14" s="867"/>
      <c r="O14" s="869"/>
      <c r="P14" s="731"/>
      <c r="Q14" s="842" t="s">
        <v>258</v>
      </c>
      <c r="R14" s="121"/>
      <c r="S14" s="867"/>
      <c r="T14" s="868">
        <f>'[16]CSSI Contract Data'!W12*'[16]Model Budget old (CSSI)'!N10</f>
        <v>0</v>
      </c>
    </row>
    <row r="15" spans="2:22" s="754" customFormat="1" ht="18.600000000000001" thickBot="1">
      <c r="B15" s="879" t="s">
        <v>39</v>
      </c>
      <c r="C15" s="880">
        <v>3.7000000000000002E-3</v>
      </c>
      <c r="D15" s="873" t="s">
        <v>40</v>
      </c>
      <c r="E15" s="731"/>
      <c r="F15" s="731"/>
      <c r="G15" s="870" t="s">
        <v>259</v>
      </c>
      <c r="H15" s="104">
        <f>C11</f>
        <v>910.13498399999992</v>
      </c>
      <c r="I15" s="867"/>
      <c r="J15" s="854">
        <f>H15*J4</f>
        <v>910.13498399999992</v>
      </c>
      <c r="K15" s="731"/>
      <c r="L15" s="870" t="s">
        <v>259</v>
      </c>
      <c r="M15" s="104">
        <f>C11</f>
        <v>910.13498399999992</v>
      </c>
      <c r="N15" s="762"/>
      <c r="O15" s="854">
        <f>M15*O4</f>
        <v>4550.6749199999995</v>
      </c>
      <c r="P15" s="731"/>
      <c r="Q15" s="842" t="s">
        <v>260</v>
      </c>
      <c r="R15" s="121"/>
      <c r="S15" s="121"/>
      <c r="T15" s="868">
        <f>S9*'[16]CSSI Contract Data'!W13</f>
        <v>0</v>
      </c>
    </row>
    <row r="16" spans="2:22" s="754" customFormat="1" ht="18.600000000000001" thickBot="1">
      <c r="B16" s="731"/>
      <c r="C16" s="731"/>
      <c r="D16" s="731"/>
      <c r="E16" s="731"/>
      <c r="F16" s="731"/>
      <c r="G16" s="921" t="s">
        <v>35</v>
      </c>
      <c r="H16" s="874"/>
      <c r="I16" s="875"/>
      <c r="J16" s="876">
        <f>SUM(J13:J15)</f>
        <v>11082.939619882784</v>
      </c>
      <c r="K16" s="731"/>
      <c r="L16" s="921" t="s">
        <v>35</v>
      </c>
      <c r="M16" s="874"/>
      <c r="N16" s="875"/>
      <c r="O16" s="876">
        <f>SUM(O13:O15)</f>
        <v>56245.173145120876</v>
      </c>
      <c r="P16" s="731"/>
      <c r="Q16" s="877" t="s">
        <v>261</v>
      </c>
      <c r="R16" s="878"/>
      <c r="S16" s="849"/>
      <c r="T16" s="851">
        <f>SUM(T11:T15)</f>
        <v>158875.91308792512</v>
      </c>
    </row>
    <row r="17" spans="2:22" s="754" customFormat="1" ht="18.600000000000001" thickBot="1">
      <c r="B17" s="731"/>
      <c r="C17" s="731"/>
      <c r="D17" s="731"/>
      <c r="E17" s="731"/>
      <c r="F17" s="731"/>
      <c r="G17" s="770" t="s">
        <v>182</v>
      </c>
      <c r="H17" s="180">
        <f>C12</f>
        <v>0.12</v>
      </c>
      <c r="I17" s="881"/>
      <c r="J17" s="882">
        <f>J16*H17</f>
        <v>1329.952754385934</v>
      </c>
      <c r="K17" s="731"/>
      <c r="L17" s="770" t="s">
        <v>182</v>
      </c>
      <c r="M17" s="180">
        <f>C12</f>
        <v>0.12</v>
      </c>
      <c r="N17" s="881"/>
      <c r="O17" s="882">
        <f>O16*M17</f>
        <v>6749.4207774145052</v>
      </c>
      <c r="P17" s="731"/>
      <c r="Q17" s="883" t="s">
        <v>182</v>
      </c>
      <c r="R17" s="884">
        <v>0.1394</v>
      </c>
      <c r="S17" s="885"/>
      <c r="T17" s="115">
        <f>T16*R17</f>
        <v>22147.30228445676</v>
      </c>
    </row>
    <row r="18" spans="2:22" s="754" customFormat="1" ht="18.600000000000001" thickTop="1">
      <c r="B18" s="731"/>
      <c r="C18" s="731"/>
      <c r="D18" s="731"/>
      <c r="E18" s="731"/>
      <c r="F18" s="731"/>
      <c r="G18" s="922" t="s">
        <v>41</v>
      </c>
      <c r="H18" s="886"/>
      <c r="I18" s="123"/>
      <c r="J18" s="887">
        <f>J17+J16</f>
        <v>12412.892374268718</v>
      </c>
      <c r="K18" s="731"/>
      <c r="L18" s="922" t="s">
        <v>41</v>
      </c>
      <c r="M18" s="886"/>
      <c r="N18" s="123"/>
      <c r="O18" s="887">
        <f>O17+O16</f>
        <v>62994.59392253538</v>
      </c>
      <c r="P18" s="731"/>
      <c r="Q18" s="842"/>
      <c r="R18" s="122"/>
      <c r="S18" s="123"/>
      <c r="T18" s="104"/>
    </row>
    <row r="19" spans="2:22" s="754" customFormat="1">
      <c r="B19" s="731"/>
      <c r="C19" s="731"/>
      <c r="D19" s="731"/>
      <c r="E19" s="731"/>
      <c r="F19" s="731"/>
      <c r="G19" s="925" t="str">
        <f>B14</f>
        <v>Rate review CAF FY22</v>
      </c>
      <c r="H19" s="888">
        <f>C14</f>
        <v>1.9959404600811814E-2</v>
      </c>
      <c r="I19" s="845"/>
      <c r="J19" s="889">
        <f>(J18-J9)*H19</f>
        <v>82.368974435845359</v>
      </c>
      <c r="K19" s="731"/>
      <c r="L19" s="926" t="str">
        <f>G19</f>
        <v>Rate review CAF FY22</v>
      </c>
      <c r="M19" s="890">
        <f>C14</f>
        <v>1.9959404600811814E-2</v>
      </c>
      <c r="N19" s="891"/>
      <c r="O19" s="892">
        <f>(O18-O9)*M19</f>
        <v>416.90825746223737</v>
      </c>
      <c r="P19" s="731"/>
      <c r="Q19" s="842" t="s">
        <v>262</v>
      </c>
      <c r="R19" s="886"/>
      <c r="S19" s="123"/>
      <c r="T19" s="893">
        <f>T17+T16</f>
        <v>181023.21537238188</v>
      </c>
    </row>
    <row r="20" spans="2:22" s="754" customFormat="1">
      <c r="B20" s="731"/>
      <c r="C20" s="731"/>
      <c r="D20" s="731"/>
      <c r="E20" s="731"/>
      <c r="F20" s="731"/>
      <c r="G20" s="894" t="s">
        <v>42</v>
      </c>
      <c r="H20" s="895"/>
      <c r="I20" s="896"/>
      <c r="J20" s="897">
        <f>J18+J19</f>
        <v>12495.261348704564</v>
      </c>
      <c r="K20" s="731"/>
      <c r="L20" s="898" t="s">
        <v>42</v>
      </c>
      <c r="M20" s="899"/>
      <c r="N20" s="900"/>
      <c r="O20" s="901">
        <f>O18+O19</f>
        <v>63411.502179997617</v>
      </c>
      <c r="P20" s="731"/>
      <c r="Q20" s="842" t="s">
        <v>156</v>
      </c>
      <c r="R20" s="122">
        <f>'[16]CAF Sp 2016'!BN39</f>
        <v>0</v>
      </c>
      <c r="S20" s="123"/>
      <c r="T20" s="902">
        <f>T19*(R20+1)</f>
        <v>181023.21537238188</v>
      </c>
    </row>
    <row r="21" spans="2:22" s="754" customFormat="1" ht="18.600000000000001" thickBot="1">
      <c r="B21" s="731"/>
      <c r="C21" s="731"/>
      <c r="D21" s="731"/>
      <c r="E21" s="731"/>
      <c r="F21" s="731"/>
      <c r="G21" s="903" t="s">
        <v>263</v>
      </c>
      <c r="H21" s="904"/>
      <c r="I21" s="904"/>
      <c r="J21" s="905">
        <f>J20/12</f>
        <v>1041.2717790587137</v>
      </c>
      <c r="K21" s="731"/>
      <c r="L21" s="903" t="s">
        <v>263</v>
      </c>
      <c r="M21" s="904"/>
      <c r="N21" s="904"/>
      <c r="O21" s="905">
        <f>O20/12</f>
        <v>5284.291848333135</v>
      </c>
      <c r="P21" s="731"/>
      <c r="Q21" s="906"/>
      <c r="R21" s="907"/>
      <c r="S21" s="908"/>
      <c r="T21" s="909" t="s">
        <v>264</v>
      </c>
    </row>
    <row r="22" spans="2:22" s="754" customFormat="1" ht="18.600000000000001" thickBot="1">
      <c r="B22" s="731"/>
      <c r="C22" s="731"/>
      <c r="D22" s="731"/>
      <c r="E22" s="800"/>
      <c r="F22" s="800"/>
      <c r="G22" s="731"/>
      <c r="H22" s="731"/>
      <c r="I22" s="731"/>
      <c r="J22" s="731"/>
      <c r="K22" s="800"/>
      <c r="L22" s="731"/>
      <c r="M22" s="731"/>
      <c r="N22" s="731"/>
      <c r="O22" s="911"/>
      <c r="P22" s="731"/>
      <c r="Q22" s="877" t="s">
        <v>261</v>
      </c>
      <c r="R22" s="878"/>
      <c r="S22" s="849"/>
      <c r="T22" s="851" t="e">
        <f>SUM(#REF!)</f>
        <v>#REF!</v>
      </c>
    </row>
    <row r="23" spans="2:22" s="754" customFormat="1" hidden="1">
      <c r="B23" s="731"/>
      <c r="C23" s="731"/>
      <c r="D23" s="731"/>
      <c r="E23" s="800"/>
      <c r="F23" s="800"/>
      <c r="G23" s="912"/>
      <c r="H23" s="886"/>
      <c r="I23" s="912"/>
      <c r="J23" s="913"/>
      <c r="K23" s="800"/>
      <c r="L23" s="912"/>
      <c r="M23" s="886"/>
      <c r="N23" s="912"/>
      <c r="O23" s="913"/>
      <c r="P23" s="731"/>
      <c r="Q23" s="883" t="s">
        <v>182</v>
      </c>
      <c r="R23" s="884" t="e">
        <f>#REF!</f>
        <v>#REF!</v>
      </c>
      <c r="S23" s="885"/>
      <c r="T23" s="115" t="e">
        <f>T22*R23</f>
        <v>#REF!</v>
      </c>
    </row>
    <row r="24" spans="2:22" s="754" customFormat="1" hidden="1">
      <c r="B24" s="731"/>
      <c r="C24" s="731"/>
      <c r="D24" s="731"/>
      <c r="E24" s="800"/>
      <c r="F24" s="800"/>
      <c r="G24" s="912"/>
      <c r="H24" s="886"/>
      <c r="I24" s="912"/>
      <c r="J24" s="914"/>
      <c r="K24" s="800"/>
      <c r="L24" s="912"/>
      <c r="M24" s="886"/>
      <c r="N24" s="912"/>
      <c r="O24" s="914"/>
      <c r="P24" s="731"/>
      <c r="Q24" s="842" t="s">
        <v>262</v>
      </c>
      <c r="R24" s="886"/>
      <c r="S24" s="123"/>
      <c r="T24" s="893" t="e">
        <f>T23+T22</f>
        <v>#REF!</v>
      </c>
      <c r="U24" s="915"/>
      <c r="V24" s="828"/>
    </row>
    <row r="25" spans="2:22" s="754" customFormat="1" hidden="1">
      <c r="B25" s="731"/>
      <c r="C25" s="731"/>
      <c r="D25" s="731"/>
      <c r="E25" s="800"/>
      <c r="F25" s="800"/>
      <c r="G25" s="916"/>
      <c r="H25" s="907"/>
      <c r="I25" s="908"/>
      <c r="J25" s="909"/>
      <c r="K25" s="800"/>
      <c r="L25" s="916"/>
      <c r="M25" s="907"/>
      <c r="N25" s="908"/>
      <c r="O25" s="909"/>
      <c r="P25" s="731"/>
      <c r="Q25" s="842" t="s">
        <v>156</v>
      </c>
      <c r="R25" s="122" t="e">
        <f>#REF!</f>
        <v>#REF!</v>
      </c>
      <c r="S25" s="123"/>
      <c r="T25" s="902" t="e">
        <f>T24*(R25+1)</f>
        <v>#REF!</v>
      </c>
    </row>
    <row r="26" spans="2:22" s="754" customFormat="1" hidden="1">
      <c r="B26" s="731"/>
      <c r="C26" s="731"/>
      <c r="D26" s="731"/>
      <c r="E26" s="800"/>
      <c r="F26" s="800"/>
      <c r="G26" s="800"/>
      <c r="H26" s="800"/>
      <c r="I26" s="800"/>
      <c r="J26" s="917"/>
      <c r="K26" s="800"/>
      <c r="L26" s="800"/>
      <c r="M26" s="800"/>
      <c r="N26" s="800"/>
      <c r="O26" s="917"/>
      <c r="P26" s="731"/>
      <c r="Q26" s="906"/>
      <c r="R26" s="907"/>
      <c r="S26" s="908"/>
      <c r="T26" s="909" t="s">
        <v>264</v>
      </c>
    </row>
    <row r="27" spans="2:22" s="754" customFormat="1" ht="18.600000000000001" hidden="1" thickBot="1">
      <c r="B27" s="731"/>
      <c r="C27" s="731"/>
      <c r="D27" s="731"/>
      <c r="E27" s="800"/>
      <c r="F27" s="800"/>
      <c r="G27" s="800"/>
      <c r="H27" s="800"/>
      <c r="I27" s="800"/>
      <c r="J27" s="800"/>
      <c r="K27" s="800"/>
      <c r="L27" s="800"/>
      <c r="M27" s="800"/>
      <c r="N27" s="800"/>
      <c r="O27" s="800"/>
      <c r="P27" s="731"/>
      <c r="Q27" s="910" t="s">
        <v>263</v>
      </c>
      <c r="R27" s="904"/>
      <c r="S27" s="904"/>
      <c r="T27" s="918" t="e">
        <f>T25/12</f>
        <v>#REF!</v>
      </c>
      <c r="U27" s="860"/>
      <c r="V27" s="919"/>
    </row>
    <row r="28" spans="2:22" s="754" customFormat="1" hidden="1">
      <c r="B28" s="731"/>
      <c r="C28" s="731"/>
      <c r="D28" s="731"/>
      <c r="E28" s="800"/>
      <c r="F28" s="800"/>
      <c r="G28" s="800"/>
      <c r="H28" s="800"/>
      <c r="I28" s="800"/>
      <c r="J28" s="800"/>
      <c r="K28" s="800"/>
      <c r="L28" s="800"/>
      <c r="M28" s="800"/>
      <c r="N28" s="800"/>
      <c r="O28" s="800"/>
      <c r="P28" s="731"/>
      <c r="Q28" s="731"/>
      <c r="R28" s="731"/>
      <c r="S28" s="731"/>
      <c r="T28" s="731"/>
    </row>
    <row r="29" spans="2:22" s="754" customFormat="1" hidden="1">
      <c r="B29" s="731"/>
      <c r="C29" s="731"/>
      <c r="D29" s="731"/>
      <c r="E29" s="800"/>
      <c r="F29" s="800"/>
      <c r="G29" s="800"/>
      <c r="H29" s="800"/>
      <c r="I29" s="800"/>
      <c r="J29" s="800"/>
      <c r="K29" s="800"/>
      <c r="L29" s="800"/>
      <c r="M29" s="800"/>
      <c r="N29" s="800"/>
      <c r="O29" s="800"/>
      <c r="P29" s="731"/>
      <c r="Q29" s="731"/>
      <c r="R29" s="731"/>
      <c r="S29" s="731"/>
      <c r="T29" s="731"/>
    </row>
    <row r="30" spans="2:22" hidden="1">
      <c r="E30" s="800"/>
      <c r="F30" s="800"/>
      <c r="G30" s="800"/>
      <c r="H30" s="800"/>
      <c r="I30" s="800"/>
      <c r="J30" s="800"/>
      <c r="K30" s="800"/>
      <c r="L30" s="800"/>
      <c r="M30" s="800"/>
      <c r="N30" s="800"/>
      <c r="O30" s="800"/>
    </row>
    <row r="31" spans="2:22" hidden="1">
      <c r="E31" s="800"/>
      <c r="F31" s="800"/>
      <c r="G31" s="800"/>
      <c r="H31" s="800"/>
      <c r="I31" s="800"/>
      <c r="J31" s="920"/>
      <c r="K31" s="800"/>
      <c r="L31" s="800"/>
      <c r="M31" s="800"/>
      <c r="N31" s="800"/>
      <c r="O31" s="800"/>
    </row>
    <row r="32" spans="2:22">
      <c r="E32" s="800"/>
      <c r="F32" s="800"/>
      <c r="G32" s="800"/>
      <c r="H32" s="800"/>
      <c r="I32" s="800"/>
      <c r="J32" s="920"/>
      <c r="K32" s="800"/>
      <c r="L32" s="800"/>
      <c r="M32" s="800"/>
      <c r="N32" s="800"/>
      <c r="O32" s="800"/>
    </row>
    <row r="33" spans="5:15">
      <c r="E33" s="800"/>
      <c r="F33" s="800"/>
      <c r="G33" s="800"/>
      <c r="H33" s="800"/>
      <c r="I33" s="800"/>
      <c r="J33" s="800"/>
      <c r="K33" s="800"/>
      <c r="L33" s="800"/>
      <c r="M33" s="800"/>
      <c r="N33" s="800"/>
      <c r="O33" s="800"/>
    </row>
    <row r="34" spans="5:15">
      <c r="E34" s="800"/>
      <c r="F34" s="800"/>
      <c r="G34" s="800"/>
      <c r="H34" s="800"/>
      <c r="I34" s="800"/>
      <c r="J34" s="800"/>
      <c r="K34" s="800"/>
      <c r="L34" s="800"/>
      <c r="M34" s="800"/>
      <c r="N34" s="800"/>
      <c r="O34" s="800"/>
    </row>
    <row r="35" spans="5:15">
      <c r="E35" s="800"/>
      <c r="F35" s="800"/>
      <c r="G35" s="800"/>
      <c r="H35" s="800"/>
      <c r="I35" s="800"/>
      <c r="J35" s="800"/>
      <c r="K35" s="800"/>
      <c r="L35" s="800"/>
      <c r="M35" s="800"/>
      <c r="N35" s="800"/>
      <c r="O35" s="800"/>
    </row>
    <row r="36" spans="5:15">
      <c r="E36" s="800"/>
      <c r="F36" s="800"/>
      <c r="G36" s="800"/>
      <c r="H36" s="800"/>
      <c r="I36" s="800"/>
      <c r="J36" s="800"/>
      <c r="K36" s="800"/>
      <c r="L36" s="800"/>
      <c r="M36" s="800"/>
      <c r="N36" s="800"/>
      <c r="O36" s="800"/>
    </row>
    <row r="37" spans="5:15">
      <c r="E37" s="800"/>
      <c r="F37" s="800"/>
      <c r="G37" s="800"/>
      <c r="H37" s="800"/>
      <c r="I37" s="800"/>
      <c r="J37" s="800"/>
      <c r="K37" s="800"/>
      <c r="L37" s="800"/>
      <c r="M37" s="800"/>
      <c r="N37" s="800"/>
      <c r="O37" s="800"/>
    </row>
    <row r="38" spans="5:15">
      <c r="E38" s="800"/>
      <c r="F38" s="800"/>
      <c r="G38" s="800"/>
      <c r="H38" s="800"/>
      <c r="I38" s="800"/>
      <c r="J38" s="800"/>
      <c r="L38" s="800"/>
      <c r="M38" s="800"/>
      <c r="N38" s="800"/>
      <c r="O38" s="800"/>
    </row>
    <row r="39" spans="5:15">
      <c r="E39" s="800"/>
      <c r="F39" s="800"/>
    </row>
  </sheetData>
  <mergeCells count="10">
    <mergeCell ref="H4:I4"/>
    <mergeCell ref="M4:N4"/>
    <mergeCell ref="R4:S4"/>
    <mergeCell ref="B2:D2"/>
    <mergeCell ref="G2:J2"/>
    <mergeCell ref="L2:O2"/>
    <mergeCell ref="Q2:T2"/>
    <mergeCell ref="G3:J3"/>
    <mergeCell ref="L3:O3"/>
    <mergeCell ref="Q3:T3"/>
  </mergeCells>
  <pageMargins left="0.7" right="0.7" top="0.75" bottom="0.75" header="0.3" footer="0.3"/>
  <pageSetup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8"/>
  <sheetViews>
    <sheetView tabSelected="1" zoomScale="70" zoomScaleNormal="70" workbookViewId="0">
      <selection activeCell="M27" sqref="M27"/>
    </sheetView>
  </sheetViews>
  <sheetFormatPr defaultColWidth="8.6640625" defaultRowHeight="14.4"/>
  <cols>
    <col min="1" max="1" width="2.44140625" customWidth="1"/>
    <col min="2" max="2" width="35.109375" customWidth="1"/>
    <col min="3" max="3" width="20.6640625" customWidth="1"/>
    <col min="4" max="4" width="24.33203125" customWidth="1"/>
    <col min="5" max="5" width="25.6640625" customWidth="1"/>
    <col min="6" max="6" width="13.6640625" customWidth="1"/>
    <col min="7" max="10" width="23.5546875" customWidth="1"/>
    <col min="11" max="11" width="2.6640625" customWidth="1"/>
    <col min="12" max="12" width="25.5546875" bestFit="1" customWidth="1"/>
    <col min="13" max="13" width="24.5546875" customWidth="1"/>
    <col min="14" max="14" width="35.77734375" customWidth="1"/>
  </cols>
  <sheetData>
    <row r="1" spans="2:15" ht="16.2" thickBot="1"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2:15" ht="16.2" thickBot="1">
      <c r="B2" s="182" t="s">
        <v>265</v>
      </c>
      <c r="C2" s="183"/>
      <c r="D2" s="183"/>
      <c r="E2" s="184"/>
      <c r="F2" s="185"/>
      <c r="G2" s="186" t="s">
        <v>266</v>
      </c>
      <c r="H2" s="187"/>
      <c r="I2" s="187"/>
      <c r="J2" s="188"/>
      <c r="K2" s="181"/>
      <c r="L2" s="189" t="s">
        <v>0</v>
      </c>
      <c r="M2" s="190"/>
      <c r="N2" s="191"/>
      <c r="O2" s="181"/>
    </row>
    <row r="3" spans="2:15" ht="16.2" thickBot="1">
      <c r="B3" s="192" t="s">
        <v>267</v>
      </c>
      <c r="C3" s="193"/>
      <c r="D3" s="193"/>
      <c r="E3" s="194">
        <f>G3</f>
        <v>1759.6799999999998</v>
      </c>
      <c r="F3" s="195"/>
      <c r="G3" s="196">
        <f>0.846*2080</f>
        <v>1759.6799999999998</v>
      </c>
      <c r="H3" s="197"/>
      <c r="I3" s="197"/>
      <c r="J3" s="198"/>
      <c r="K3" s="181"/>
      <c r="L3" s="199"/>
      <c r="M3" s="200"/>
      <c r="N3" s="201" t="s">
        <v>4</v>
      </c>
      <c r="O3" s="181"/>
    </row>
    <row r="4" spans="2:15" ht="16.2" thickBot="1">
      <c r="B4" s="202"/>
      <c r="C4" s="203"/>
      <c r="D4" s="203"/>
      <c r="E4" s="204"/>
      <c r="F4" s="195"/>
      <c r="G4" s="181"/>
      <c r="H4" s="181"/>
      <c r="I4" s="181"/>
      <c r="J4" s="181"/>
      <c r="K4" s="181"/>
      <c r="L4" s="205" t="s">
        <v>8</v>
      </c>
      <c r="M4" s="206"/>
      <c r="N4" s="207"/>
      <c r="O4" s="181"/>
    </row>
    <row r="5" spans="2:15" ht="16.2" thickBot="1">
      <c r="B5" s="208"/>
      <c r="C5" s="209" t="s">
        <v>5</v>
      </c>
      <c r="D5" s="210" t="s">
        <v>6</v>
      </c>
      <c r="E5" s="211" t="s">
        <v>7</v>
      </c>
      <c r="F5" s="212"/>
      <c r="G5" s="186" t="s">
        <v>268</v>
      </c>
      <c r="H5" s="187"/>
      <c r="I5" s="187"/>
      <c r="J5" s="188"/>
      <c r="K5" s="181"/>
      <c r="L5" s="213" t="s">
        <v>9</v>
      </c>
      <c r="M5" s="214">
        <f>58890*(2.68%+1)*(5.41%+1)</f>
        <v>63739.584433199998</v>
      </c>
      <c r="N5" s="207" t="s">
        <v>164</v>
      </c>
      <c r="O5" s="181"/>
    </row>
    <row r="6" spans="2:15" ht="15.6">
      <c r="B6" s="215" t="s">
        <v>9</v>
      </c>
      <c r="C6" s="216">
        <f>M5</f>
        <v>63739.584433199998</v>
      </c>
      <c r="D6" s="217">
        <v>0.5</v>
      </c>
      <c r="E6" s="218">
        <f>C6*D6</f>
        <v>31869.792216599999</v>
      </c>
      <c r="F6" s="219"/>
      <c r="G6" s="220" t="s">
        <v>269</v>
      </c>
      <c r="H6" s="221"/>
      <c r="I6" s="221"/>
      <c r="J6" s="222"/>
      <c r="K6" s="181"/>
      <c r="L6" s="213" t="s">
        <v>11</v>
      </c>
      <c r="M6" s="214">
        <f>[17]Chart!C8</f>
        <v>41516.800000000003</v>
      </c>
      <c r="N6" s="207" t="s">
        <v>12</v>
      </c>
      <c r="O6" s="181"/>
    </row>
    <row r="7" spans="2:15" ht="15.6">
      <c r="B7" s="223" t="s">
        <v>11</v>
      </c>
      <c r="C7" s="224">
        <f>M6</f>
        <v>41516.800000000003</v>
      </c>
      <c r="D7" s="225">
        <v>1</v>
      </c>
      <c r="E7" s="218">
        <f t="shared" ref="E7:E8" si="0">C7*D7</f>
        <v>41516.800000000003</v>
      </c>
      <c r="F7" s="219"/>
      <c r="G7" s="226" t="s">
        <v>270</v>
      </c>
      <c r="H7" s="217">
        <v>0.5</v>
      </c>
      <c r="I7" s="221" t="s">
        <v>15</v>
      </c>
      <c r="J7" s="222"/>
      <c r="K7" s="181"/>
      <c r="L7" s="213" t="s">
        <v>14</v>
      </c>
      <c r="M7" s="214">
        <f>[17]Chart!C6</f>
        <v>32198.400000000001</v>
      </c>
      <c r="N7" s="207" t="s">
        <v>12</v>
      </c>
      <c r="O7" s="181"/>
    </row>
    <row r="8" spans="2:15" ht="15" customHeight="1" thickBot="1">
      <c r="B8" s="227" t="s">
        <v>14</v>
      </c>
      <c r="C8" s="228">
        <f>M7</f>
        <v>32198.400000000001</v>
      </c>
      <c r="D8" s="229">
        <v>0.12</v>
      </c>
      <c r="E8" s="230">
        <f t="shared" si="0"/>
        <v>3863.808</v>
      </c>
      <c r="F8" s="219"/>
      <c r="G8" s="231" t="s">
        <v>14</v>
      </c>
      <c r="H8" s="232">
        <v>0.12</v>
      </c>
      <c r="I8" s="233" t="s">
        <v>15</v>
      </c>
      <c r="J8" s="234"/>
      <c r="K8" s="181"/>
      <c r="L8" s="205" t="s">
        <v>24</v>
      </c>
      <c r="M8" s="235"/>
      <c r="N8" s="236"/>
      <c r="O8" s="181"/>
    </row>
    <row r="9" spans="2:15" ht="15.6">
      <c r="B9" s="237"/>
      <c r="C9" s="238"/>
      <c r="D9" s="239"/>
      <c r="E9" s="240"/>
      <c r="F9" s="212"/>
      <c r="G9" s="181"/>
      <c r="H9" s="181"/>
      <c r="I9" s="181"/>
      <c r="J9" s="181"/>
      <c r="K9" s="181"/>
      <c r="L9" s="241" t="s">
        <v>25</v>
      </c>
      <c r="M9" s="242">
        <v>0.224</v>
      </c>
      <c r="N9" s="207" t="s">
        <v>34</v>
      </c>
      <c r="O9" s="181"/>
    </row>
    <row r="10" spans="2:15" ht="15" customHeight="1">
      <c r="B10" s="237" t="s">
        <v>16</v>
      </c>
      <c r="C10" s="238"/>
      <c r="D10" s="243">
        <f>SUM(D6:D8)</f>
        <v>1.62</v>
      </c>
      <c r="E10" s="244">
        <f>SUM(E6:E8)</f>
        <v>77250.400216599999</v>
      </c>
      <c r="F10" s="245"/>
      <c r="G10" s="181"/>
      <c r="H10" s="181"/>
      <c r="I10" s="181"/>
      <c r="J10" s="181"/>
      <c r="K10" s="181"/>
      <c r="L10" s="241" t="s">
        <v>27</v>
      </c>
      <c r="M10" s="246">
        <f>'[17]FY19 UFR BTL'!E5</f>
        <v>7007.3073753605286</v>
      </c>
      <c r="N10" s="207" t="s">
        <v>271</v>
      </c>
      <c r="O10" s="181"/>
    </row>
    <row r="11" spans="2:15" ht="16.2" thickBot="1">
      <c r="B11" s="208"/>
      <c r="C11" s="247"/>
      <c r="D11" s="247"/>
      <c r="E11" s="207"/>
      <c r="F11" s="248"/>
      <c r="G11" s="181"/>
      <c r="H11" s="181"/>
      <c r="I11" s="181"/>
      <c r="J11" s="181"/>
      <c r="K11" s="181"/>
      <c r="L11" s="249" t="s">
        <v>272</v>
      </c>
      <c r="M11" s="250">
        <f>'[17]FY19 UFR BTL'!O5</f>
        <v>556.00233100233095</v>
      </c>
      <c r="N11" s="251" t="s">
        <v>271</v>
      </c>
      <c r="O11" s="181" t="s">
        <v>157</v>
      </c>
    </row>
    <row r="12" spans="2:15" ht="15.6">
      <c r="B12" s="208" t="s">
        <v>20</v>
      </c>
      <c r="C12" s="252"/>
      <c r="D12" s="253">
        <f>M9</f>
        <v>0.224</v>
      </c>
      <c r="E12" s="254">
        <f>E10*D12</f>
        <v>17304.089648518398</v>
      </c>
      <c r="F12" s="248"/>
      <c r="G12" s="182" t="s">
        <v>273</v>
      </c>
      <c r="H12" s="183"/>
      <c r="I12" s="183"/>
      <c r="J12" s="184"/>
      <c r="K12" s="181"/>
      <c r="L12" s="241" t="s">
        <v>274</v>
      </c>
      <c r="M12" s="246">
        <f>'[17]FY19 UFR BTL'!AQ5</f>
        <v>6912.1807909604522</v>
      </c>
      <c r="N12" s="207" t="s">
        <v>271</v>
      </c>
      <c r="O12" s="181"/>
    </row>
    <row r="13" spans="2:15" ht="16.2" thickBot="1">
      <c r="B13" s="208" t="s">
        <v>39</v>
      </c>
      <c r="C13" s="247"/>
      <c r="D13" s="255">
        <f>M15</f>
        <v>3.7000000000000002E-3</v>
      </c>
      <c r="E13" s="256">
        <f>E10*D13</f>
        <v>285.82648080142002</v>
      </c>
      <c r="F13" s="257"/>
      <c r="G13" s="192" t="s">
        <v>267</v>
      </c>
      <c r="H13" s="193"/>
      <c r="I13" s="193"/>
      <c r="J13" s="194">
        <f>E3</f>
        <v>1759.6799999999998</v>
      </c>
      <c r="K13" s="181"/>
      <c r="L13" s="241" t="s">
        <v>33</v>
      </c>
      <c r="M13" s="258">
        <v>0.12</v>
      </c>
      <c r="N13" s="207" t="s">
        <v>34</v>
      </c>
      <c r="O13" s="181"/>
    </row>
    <row r="14" spans="2:15" ht="16.2" thickBot="1">
      <c r="B14" s="237" t="s">
        <v>23</v>
      </c>
      <c r="C14" s="259"/>
      <c r="D14" s="259"/>
      <c r="E14" s="260">
        <f>SUM(E10:E12)</f>
        <v>94554.489865118405</v>
      </c>
      <c r="F14" s="257"/>
      <c r="G14" s="202"/>
      <c r="H14" s="203"/>
      <c r="I14" s="203"/>
      <c r="J14" s="204"/>
      <c r="K14" s="181"/>
      <c r="L14" s="261" t="s">
        <v>275</v>
      </c>
      <c r="M14" s="262">
        <f>'[17]CAF Fall 2020'!CA25</f>
        <v>1.9959404600811814E-2</v>
      </c>
      <c r="N14" s="263" t="s">
        <v>276</v>
      </c>
      <c r="O14" s="181"/>
    </row>
    <row r="15" spans="2:15" ht="19.2" customHeight="1" thickBot="1">
      <c r="B15" s="223"/>
      <c r="C15" s="247"/>
      <c r="D15" s="247"/>
      <c r="E15" s="254"/>
      <c r="F15" s="264"/>
      <c r="G15" s="208"/>
      <c r="H15" s="209" t="s">
        <v>5</v>
      </c>
      <c r="I15" s="210" t="s">
        <v>6</v>
      </c>
      <c r="J15" s="211" t="s">
        <v>7</v>
      </c>
      <c r="K15" s="181"/>
      <c r="L15" s="265" t="s">
        <v>39</v>
      </c>
      <c r="M15" s="266">
        <v>3.7000000000000002E-3</v>
      </c>
      <c r="N15" s="267" t="s">
        <v>40</v>
      </c>
      <c r="O15" s="181"/>
    </row>
    <row r="16" spans="2:15" ht="18" customHeight="1">
      <c r="B16" s="268" t="str">
        <f>L11</f>
        <v>Training</v>
      </c>
      <c r="C16" s="245"/>
      <c r="D16" s="248">
        <f>M11</f>
        <v>556.00233100233095</v>
      </c>
      <c r="E16" s="269">
        <f>D10*D16</f>
        <v>900.72377622377621</v>
      </c>
      <c r="F16" s="264"/>
      <c r="G16" s="215" t="s">
        <v>9</v>
      </c>
      <c r="H16" s="216">
        <f>C6</f>
        <v>63739.584433199998</v>
      </c>
      <c r="I16" s="217">
        <v>0.5</v>
      </c>
      <c r="J16" s="218">
        <f>H16*I16</f>
        <v>31869.792216599999</v>
      </c>
      <c r="K16" s="181"/>
      <c r="L16" s="181"/>
      <c r="M16" s="181"/>
      <c r="N16" s="181"/>
      <c r="O16" s="181"/>
    </row>
    <row r="17" spans="2:16" ht="15.6">
      <c r="B17" s="208" t="s">
        <v>27</v>
      </c>
      <c r="C17" s="247"/>
      <c r="D17" s="270">
        <f>M10</f>
        <v>7007.3073753605286</v>
      </c>
      <c r="E17" s="271">
        <f>D17*D10</f>
        <v>11351.837948084058</v>
      </c>
      <c r="F17" s="264"/>
      <c r="G17" s="223" t="s">
        <v>11</v>
      </c>
      <c r="H17" s="216">
        <f t="shared" ref="H17:H18" si="1">C7</f>
        <v>41516.800000000003</v>
      </c>
      <c r="I17" s="225">
        <v>1</v>
      </c>
      <c r="J17" s="218">
        <f t="shared" ref="J17:J18" si="2">H17*I17</f>
        <v>41516.800000000003</v>
      </c>
      <c r="K17" s="181"/>
      <c r="L17" s="181"/>
      <c r="M17" s="181"/>
      <c r="N17" s="181"/>
      <c r="O17" s="181"/>
      <c r="P17" s="181"/>
    </row>
    <row r="18" spans="2:16" ht="15.6">
      <c r="B18" s="208" t="s">
        <v>277</v>
      </c>
      <c r="C18" s="247"/>
      <c r="D18" s="270">
        <f>M12</f>
        <v>6912.1807909604522</v>
      </c>
      <c r="E18" s="271">
        <f>D18*D10</f>
        <v>11197.732881355932</v>
      </c>
      <c r="F18" s="264"/>
      <c r="G18" s="227" t="s">
        <v>14</v>
      </c>
      <c r="H18" s="216">
        <f t="shared" si="1"/>
        <v>32198.400000000001</v>
      </c>
      <c r="I18" s="229">
        <v>0.12</v>
      </c>
      <c r="J18" s="230">
        <f t="shared" si="2"/>
        <v>3863.808</v>
      </c>
      <c r="K18" s="181"/>
      <c r="L18" s="245"/>
      <c r="M18" s="245"/>
      <c r="N18" s="245"/>
      <c r="O18" s="181"/>
      <c r="P18" s="181"/>
    </row>
    <row r="19" spans="2:16" ht="12" customHeight="1">
      <c r="B19" s="208"/>
      <c r="C19" s="247"/>
      <c r="D19" s="272"/>
      <c r="E19" s="271"/>
      <c r="F19" s="257"/>
      <c r="G19" s="237"/>
      <c r="H19" s="238"/>
      <c r="I19" s="239"/>
      <c r="J19" s="240"/>
      <c r="K19" s="181"/>
      <c r="L19" s="245"/>
      <c r="M19" s="245"/>
      <c r="N19" s="245"/>
      <c r="O19" s="181"/>
      <c r="P19" s="181"/>
    </row>
    <row r="20" spans="2:16" ht="15.6">
      <c r="B20" s="237" t="s">
        <v>35</v>
      </c>
      <c r="C20" s="259"/>
      <c r="D20" s="259"/>
      <c r="E20" s="273">
        <f>SUM(E14:E18)</f>
        <v>118004.78447078216</v>
      </c>
      <c r="F20" s="248"/>
      <c r="G20" s="237" t="s">
        <v>16</v>
      </c>
      <c r="H20" s="238"/>
      <c r="I20" s="243">
        <f>SUM(I16:I18)</f>
        <v>1.62</v>
      </c>
      <c r="J20" s="244">
        <f>SUM(J16:J18)</f>
        <v>77250.400216599999</v>
      </c>
      <c r="K20" s="181"/>
      <c r="L20" s="274"/>
      <c r="M20" s="245"/>
      <c r="N20" s="245"/>
      <c r="O20" s="181"/>
      <c r="P20" s="181"/>
    </row>
    <row r="21" spans="2:16" ht="16.2" thickBot="1">
      <c r="B21" s="275" t="s">
        <v>38</v>
      </c>
      <c r="C21" s="276"/>
      <c r="D21" s="277">
        <f>M13</f>
        <v>0.12</v>
      </c>
      <c r="E21" s="278">
        <f>D21*E20</f>
        <v>14160.574136493859</v>
      </c>
      <c r="F21" s="248"/>
      <c r="G21" s="208"/>
      <c r="H21" s="247"/>
      <c r="I21" s="247"/>
      <c r="J21" s="207"/>
      <c r="K21" s="181"/>
      <c r="L21" s="245"/>
      <c r="M21" s="245"/>
      <c r="N21" s="245"/>
      <c r="O21" s="181"/>
      <c r="P21" s="181"/>
    </row>
    <row r="22" spans="2:16" ht="16.2" thickTop="1">
      <c r="B22" s="279" t="s">
        <v>41</v>
      </c>
      <c r="C22" s="280"/>
      <c r="D22" s="281"/>
      <c r="E22" s="282">
        <f>E20+E21</f>
        <v>132165.35860727602</v>
      </c>
      <c r="F22" s="248"/>
      <c r="G22" s="208" t="s">
        <v>20</v>
      </c>
      <c r="H22" s="252"/>
      <c r="I22" s="253">
        <f>D12</f>
        <v>0.224</v>
      </c>
      <c r="J22" s="254">
        <f>J20*I22</f>
        <v>17304.089648518398</v>
      </c>
      <c r="K22" s="181"/>
      <c r="L22" s="283"/>
      <c r="M22" s="245"/>
      <c r="N22" s="245"/>
      <c r="O22" s="245"/>
      <c r="P22" s="245"/>
    </row>
    <row r="23" spans="2:16" ht="16.2" thickBot="1">
      <c r="B23" s="284" t="str">
        <f>L14</f>
        <v xml:space="preserve">Rate review CAF FY22 </v>
      </c>
      <c r="C23" s="285"/>
      <c r="D23" s="286">
        <f>M14</f>
        <v>1.9959404600811814E-2</v>
      </c>
      <c r="E23" s="287">
        <f>(E22-E10)*D23</f>
        <v>1096.0698731562484</v>
      </c>
      <c r="F23" s="257"/>
      <c r="G23" s="208" t="s">
        <v>39</v>
      </c>
      <c r="H23" s="247"/>
      <c r="I23" s="255">
        <f>D13</f>
        <v>3.7000000000000002E-3</v>
      </c>
      <c r="J23" s="256">
        <f>J20*I23</f>
        <v>285.82648080142002</v>
      </c>
      <c r="K23" s="181"/>
      <c r="L23" s="245"/>
      <c r="M23" s="245"/>
      <c r="N23" s="245"/>
      <c r="O23" s="245"/>
      <c r="P23" s="245"/>
    </row>
    <row r="24" spans="2:16" ht="16.2" thickBot="1">
      <c r="B24" s="208" t="s">
        <v>278</v>
      </c>
      <c r="C24" s="247"/>
      <c r="D24" s="247"/>
      <c r="E24" s="256">
        <f>E22+E23</f>
        <v>133261.42848043228</v>
      </c>
      <c r="F24" s="257"/>
      <c r="G24" s="237" t="s">
        <v>23</v>
      </c>
      <c r="H24" s="259"/>
      <c r="I24" s="259"/>
      <c r="J24" s="260">
        <f>SUM(J20:J22)</f>
        <v>94554.489865118405</v>
      </c>
      <c r="K24" s="181"/>
      <c r="L24" s="245"/>
      <c r="M24" s="245"/>
      <c r="N24" s="245"/>
      <c r="O24" s="245"/>
      <c r="P24" s="245"/>
    </row>
    <row r="25" spans="2:16" ht="16.2" thickBot="1">
      <c r="B25" s="288" t="s">
        <v>279</v>
      </c>
      <c r="C25" s="289"/>
      <c r="D25" s="289"/>
      <c r="E25" s="290">
        <f>E24/E3</f>
        <v>75.730489907501536</v>
      </c>
      <c r="F25" s="248"/>
      <c r="G25" s="223"/>
      <c r="H25" s="247"/>
      <c r="I25" s="247"/>
      <c r="J25" s="254"/>
      <c r="K25" s="181"/>
      <c r="L25" s="283"/>
      <c r="M25" s="245"/>
      <c r="N25" s="245"/>
      <c r="O25" s="245"/>
      <c r="P25" s="245"/>
    </row>
    <row r="26" spans="2:16" ht="15.6">
      <c r="B26" s="220" t="s">
        <v>280</v>
      </c>
      <c r="C26" s="291" t="s">
        <v>281</v>
      </c>
      <c r="D26" s="292">
        <v>4</v>
      </c>
      <c r="E26" s="293">
        <f>D26*E25</f>
        <v>302.92195963000614</v>
      </c>
      <c r="F26" s="248"/>
      <c r="G26" s="268" t="str">
        <f>B16</f>
        <v>Training</v>
      </c>
      <c r="H26" s="245"/>
      <c r="I26" s="248">
        <f>D16</f>
        <v>556.00233100233095</v>
      </c>
      <c r="J26" s="269">
        <f>I20*I26</f>
        <v>900.72377622377621</v>
      </c>
      <c r="K26" s="181"/>
      <c r="L26" s="245"/>
      <c r="M26" s="245"/>
      <c r="N26" s="245"/>
      <c r="O26" s="245"/>
      <c r="P26" s="245"/>
    </row>
    <row r="27" spans="2:16" ht="15.6">
      <c r="B27" s="220" t="s">
        <v>282</v>
      </c>
      <c r="C27" s="291" t="s">
        <v>281</v>
      </c>
      <c r="D27" s="292">
        <v>5</v>
      </c>
      <c r="E27" s="293">
        <f>D27*E25</f>
        <v>378.65244953750766</v>
      </c>
      <c r="F27" s="294"/>
      <c r="G27" s="208" t="s">
        <v>27</v>
      </c>
      <c r="H27" s="247"/>
      <c r="I27" s="248">
        <f t="shared" ref="I27:I28" si="3">D17</f>
        <v>7007.3073753605286</v>
      </c>
      <c r="J27" s="271">
        <f>I27*I20</f>
        <v>11351.837948084058</v>
      </c>
      <c r="K27" s="221"/>
      <c r="L27" s="245"/>
      <c r="M27" s="245"/>
      <c r="N27" s="245"/>
      <c r="O27" s="245"/>
      <c r="P27" s="245"/>
    </row>
    <row r="28" spans="2:16" ht="16.2" thickBot="1">
      <c r="B28" s="295" t="s">
        <v>283</v>
      </c>
      <c r="C28" s="296" t="s">
        <v>281</v>
      </c>
      <c r="D28" s="297">
        <v>3</v>
      </c>
      <c r="E28" s="298">
        <f>D28*E25</f>
        <v>227.19146972250462</v>
      </c>
      <c r="F28" s="248"/>
      <c r="G28" s="208" t="s">
        <v>277</v>
      </c>
      <c r="H28" s="247"/>
      <c r="I28" s="248">
        <f t="shared" si="3"/>
        <v>6912.1807909604522</v>
      </c>
      <c r="J28" s="271">
        <f>I28*I20</f>
        <v>11197.732881355932</v>
      </c>
      <c r="K28" s="221"/>
      <c r="L28" s="283"/>
      <c r="M28" s="245"/>
      <c r="N28" s="245"/>
      <c r="O28" s="245"/>
      <c r="P28" s="245"/>
    </row>
    <row r="29" spans="2:16" ht="15.6">
      <c r="B29" s="221"/>
      <c r="C29" s="291"/>
      <c r="D29" s="292"/>
      <c r="E29" s="299"/>
      <c r="F29" s="299"/>
      <c r="G29" s="208"/>
      <c r="H29" s="247"/>
      <c r="I29" s="272"/>
      <c r="J29" s="271"/>
      <c r="K29" s="181"/>
      <c r="L29" s="245"/>
      <c r="M29" s="245"/>
      <c r="N29" s="245"/>
      <c r="O29" s="245"/>
      <c r="P29" s="245"/>
    </row>
    <row r="30" spans="2:16" ht="15.6">
      <c r="B30" s="221"/>
      <c r="C30" s="300"/>
      <c r="D30" s="221"/>
      <c r="E30" s="301"/>
      <c r="F30" s="302"/>
      <c r="G30" s="237" t="s">
        <v>35</v>
      </c>
      <c r="H30" s="259"/>
      <c r="I30" s="259"/>
      <c r="J30" s="273">
        <f>SUM(J24:J28)</f>
        <v>118004.78447078216</v>
      </c>
      <c r="K30" s="181"/>
      <c r="L30" s="245"/>
      <c r="M30" s="245"/>
      <c r="N30" s="245"/>
      <c r="O30" s="245"/>
      <c r="P30" s="245"/>
    </row>
    <row r="31" spans="2:16" ht="16.2" thickBot="1">
      <c r="B31" s="221"/>
      <c r="C31" s="300"/>
      <c r="D31" s="221"/>
      <c r="E31" s="301"/>
      <c r="F31" s="302"/>
      <c r="G31" s="275" t="s">
        <v>38</v>
      </c>
      <c r="H31" s="276"/>
      <c r="I31" s="277">
        <f>D21</f>
        <v>0.12</v>
      </c>
      <c r="J31" s="278">
        <f>I31*J30</f>
        <v>14160.574136493859</v>
      </c>
      <c r="K31" s="181"/>
      <c r="L31" s="245"/>
      <c r="M31" s="245"/>
      <c r="N31" s="245"/>
      <c r="O31" s="181"/>
      <c r="P31" s="181"/>
    </row>
    <row r="32" spans="2:16" ht="16.2" thickTop="1">
      <c r="B32" s="181"/>
      <c r="C32" s="300"/>
      <c r="D32" s="221"/>
      <c r="E32" s="303"/>
      <c r="F32" s="302"/>
      <c r="G32" s="279" t="s">
        <v>41</v>
      </c>
      <c r="H32" s="280"/>
      <c r="I32" s="281"/>
      <c r="J32" s="282">
        <f>J30+J31</f>
        <v>132165.35860727602</v>
      </c>
      <c r="K32" s="181"/>
      <c r="L32" s="245"/>
      <c r="M32" s="245"/>
      <c r="N32" s="245"/>
      <c r="O32" s="181"/>
      <c r="P32" s="181"/>
    </row>
    <row r="33" spans="2:14" ht="16.2" thickBot="1">
      <c r="B33" s="181"/>
      <c r="C33" s="181"/>
      <c r="D33" s="181"/>
      <c r="E33" s="181"/>
      <c r="F33" s="181"/>
      <c r="G33" s="284" t="str">
        <f>B23</f>
        <v xml:space="preserve">Rate review CAF FY22 </v>
      </c>
      <c r="H33" s="285"/>
      <c r="I33" s="286">
        <f>D23</f>
        <v>1.9959404600811814E-2</v>
      </c>
      <c r="J33" s="287">
        <f>(J32-J20)*I33</f>
        <v>1096.0698731562484</v>
      </c>
      <c r="K33" s="181"/>
      <c r="L33" s="245"/>
      <c r="M33" s="245"/>
      <c r="N33" s="245"/>
    </row>
    <row r="34" spans="2:14" ht="16.2" thickBot="1">
      <c r="B34" s="304" t="s">
        <v>287</v>
      </c>
      <c r="C34" s="305"/>
      <c r="D34" s="305"/>
      <c r="E34" s="306"/>
      <c r="F34" s="181"/>
      <c r="G34" s="208" t="s">
        <v>278</v>
      </c>
      <c r="H34" s="247"/>
      <c r="I34" s="247"/>
      <c r="J34" s="256">
        <f>J32+J33</f>
        <v>133261.42848043228</v>
      </c>
      <c r="K34" s="181"/>
      <c r="L34" s="245"/>
      <c r="M34" s="245"/>
      <c r="N34" s="245"/>
    </row>
    <row r="35" spans="2:14" ht="16.2" thickBot="1">
      <c r="B35" s="208"/>
      <c r="C35" s="209" t="s">
        <v>5</v>
      </c>
      <c r="D35" s="210" t="s">
        <v>6</v>
      </c>
      <c r="E35" s="211" t="s">
        <v>7</v>
      </c>
      <c r="F35" s="181"/>
      <c r="G35" s="288" t="s">
        <v>288</v>
      </c>
      <c r="H35" s="289"/>
      <c r="I35" s="289"/>
      <c r="J35" s="307">
        <f>J34/J13</f>
        <v>75.730489907501536</v>
      </c>
      <c r="K35" s="181"/>
      <c r="L35" s="245"/>
      <c r="M35" s="245"/>
      <c r="N35" s="245"/>
    </row>
    <row r="36" spans="2:14" ht="15.6">
      <c r="B36" s="215" t="s">
        <v>9</v>
      </c>
      <c r="C36" s="216">
        <f>M5</f>
        <v>63739.584433199998</v>
      </c>
      <c r="D36" s="217">
        <v>0.15</v>
      </c>
      <c r="E36" s="218">
        <f>C36*D36</f>
        <v>9560.9376649799997</v>
      </c>
      <c r="F36" s="212"/>
      <c r="G36" s="181"/>
      <c r="H36" s="181"/>
      <c r="I36" s="181"/>
      <c r="J36" s="181"/>
      <c r="K36" s="181"/>
      <c r="L36" s="181"/>
      <c r="M36" s="181"/>
      <c r="N36" s="181"/>
    </row>
    <row r="37" spans="2:14" ht="15.6">
      <c r="B37" s="308" t="str">
        <f>L6</f>
        <v>Direct Care III</v>
      </c>
      <c r="C37" s="224">
        <f>M6</f>
        <v>41516.800000000003</v>
      </c>
      <c r="D37" s="217">
        <v>0.124</v>
      </c>
      <c r="E37" s="218">
        <f t="shared" ref="E37" si="4">C37*D37</f>
        <v>5148.0832</v>
      </c>
      <c r="F37" s="181"/>
      <c r="G37" s="181"/>
      <c r="H37" s="181"/>
      <c r="I37" s="181"/>
      <c r="J37" s="181"/>
      <c r="K37" s="181"/>
      <c r="L37" s="181"/>
      <c r="M37" s="181"/>
      <c r="N37" s="181"/>
    </row>
    <row r="38" spans="2:14" ht="18" customHeight="1">
      <c r="B38" s="309"/>
      <c r="C38" s="238"/>
      <c r="D38" s="310"/>
      <c r="E38" s="311"/>
      <c r="F38" s="181"/>
      <c r="G38" s="181"/>
      <c r="H38" s="181"/>
      <c r="I38" s="181"/>
      <c r="J38" s="181"/>
      <c r="K38" s="181"/>
      <c r="L38" s="181"/>
      <c r="M38" s="181"/>
      <c r="N38" s="181"/>
    </row>
    <row r="39" spans="2:14" ht="15.6">
      <c r="B39" s="312" t="s">
        <v>16</v>
      </c>
      <c r="C39" s="259"/>
      <c r="D39" s="243">
        <f>SUM(D36:D37)</f>
        <v>0.27400000000000002</v>
      </c>
      <c r="E39" s="244">
        <f>SUM(E36:E37)</f>
        <v>14709.020864980001</v>
      </c>
      <c r="F39" s="181"/>
      <c r="G39" s="181"/>
      <c r="H39" s="181"/>
      <c r="I39" s="181"/>
      <c r="J39" s="181"/>
      <c r="K39" s="181"/>
      <c r="L39" s="181"/>
      <c r="M39" s="181"/>
      <c r="N39" s="181"/>
    </row>
    <row r="40" spans="2:14" ht="15.6">
      <c r="B40" s="313"/>
      <c r="C40" s="247"/>
      <c r="D40" s="314"/>
      <c r="E40" s="315"/>
      <c r="F40" s="245"/>
      <c r="G40" s="181"/>
      <c r="H40" s="181"/>
      <c r="I40" s="181"/>
      <c r="J40" s="181"/>
      <c r="K40" s="181"/>
      <c r="L40" s="181"/>
      <c r="M40" s="181"/>
      <c r="N40" s="181"/>
    </row>
    <row r="41" spans="2:14" ht="15.6">
      <c r="B41" s="208" t="s">
        <v>20</v>
      </c>
      <c r="C41" s="252"/>
      <c r="D41" s="253">
        <f>M9</f>
        <v>0.224</v>
      </c>
      <c r="E41" s="256">
        <f>E39*D41</f>
        <v>3294.8206737555201</v>
      </c>
      <c r="F41" s="248"/>
      <c r="G41" s="181"/>
      <c r="H41" s="181"/>
      <c r="I41" s="181"/>
      <c r="J41" s="181"/>
      <c r="K41" s="181"/>
      <c r="L41" s="181"/>
      <c r="M41" s="181"/>
      <c r="N41" s="181"/>
    </row>
    <row r="42" spans="2:14" ht="16.95" customHeight="1">
      <c r="B42" s="208" t="s">
        <v>39</v>
      </c>
      <c r="C42" s="247"/>
      <c r="D42" s="316">
        <f>M15</f>
        <v>3.7000000000000002E-3</v>
      </c>
      <c r="E42" s="256">
        <f>E39*D42</f>
        <v>54.423377200426003</v>
      </c>
      <c r="F42" s="248"/>
      <c r="G42" s="181"/>
      <c r="H42" s="181"/>
      <c r="I42" s="181"/>
      <c r="J42" s="181"/>
      <c r="K42" s="181"/>
      <c r="L42" s="181"/>
      <c r="M42" s="181"/>
      <c r="N42" s="181"/>
    </row>
    <row r="43" spans="2:14" ht="15.6">
      <c r="B43" s="237" t="s">
        <v>23</v>
      </c>
      <c r="C43" s="259"/>
      <c r="D43" s="259"/>
      <c r="E43" s="260">
        <f>E39+E41+E42</f>
        <v>18058.264915935946</v>
      </c>
      <c r="F43" s="257"/>
      <c r="G43" s="181"/>
      <c r="H43" s="181"/>
      <c r="I43" s="181"/>
      <c r="J43" s="181"/>
      <c r="K43" s="181"/>
      <c r="L43" s="181"/>
      <c r="M43" s="181"/>
      <c r="N43" s="181"/>
    </row>
    <row r="44" spans="2:14" ht="15.6">
      <c r="B44" s="223"/>
      <c r="C44" s="247"/>
      <c r="D44" s="247"/>
      <c r="E44" s="254"/>
      <c r="F44" s="257"/>
      <c r="G44" s="181"/>
      <c r="H44" s="181"/>
      <c r="I44" s="181"/>
      <c r="J44" s="181"/>
      <c r="K44" s="181"/>
      <c r="L44" s="181"/>
      <c r="M44" s="181"/>
      <c r="N44" s="181"/>
    </row>
    <row r="45" spans="2:14" ht="16.95" customHeight="1">
      <c r="B45" s="208" t="s">
        <v>27</v>
      </c>
      <c r="C45" s="247"/>
      <c r="D45" s="270">
        <f>M10</f>
        <v>7007.3073753605286</v>
      </c>
      <c r="E45" s="271">
        <f>D45*D39</f>
        <v>1920.0022208487849</v>
      </c>
      <c r="F45" s="264"/>
      <c r="G45" s="181"/>
      <c r="H45" s="181"/>
      <c r="I45" s="181"/>
      <c r="J45" s="181"/>
      <c r="K45" s="181"/>
      <c r="L45" s="181"/>
      <c r="M45" s="181"/>
      <c r="N45" s="181"/>
    </row>
    <row r="46" spans="2:14" ht="15.6">
      <c r="B46" s="268" t="str">
        <f>L11</f>
        <v>Training</v>
      </c>
      <c r="C46" s="245"/>
      <c r="D46" s="317">
        <f>M11</f>
        <v>556.00233100233095</v>
      </c>
      <c r="E46" s="318">
        <f>D46*D39</f>
        <v>152.34463869463869</v>
      </c>
      <c r="F46" s="264"/>
      <c r="G46" s="181"/>
      <c r="H46" s="181"/>
      <c r="I46" s="181"/>
      <c r="J46" s="181"/>
      <c r="K46" s="181"/>
      <c r="L46" s="181"/>
      <c r="M46" s="181"/>
      <c r="N46" s="181"/>
    </row>
    <row r="47" spans="2:14" ht="15.6">
      <c r="B47" s="208" t="s">
        <v>277</v>
      </c>
      <c r="C47" s="247"/>
      <c r="D47" s="270">
        <f>M12</f>
        <v>6912.1807909604522</v>
      </c>
      <c r="E47" s="271">
        <f>D47*D39</f>
        <v>1893.9375367231642</v>
      </c>
      <c r="F47" s="264"/>
      <c r="G47" s="181"/>
      <c r="H47" s="181"/>
      <c r="I47" s="181"/>
      <c r="J47" s="181"/>
      <c r="K47" s="181"/>
      <c r="L47" s="181"/>
      <c r="M47" s="181"/>
      <c r="N47" s="181"/>
    </row>
    <row r="48" spans="2:14" ht="15.6">
      <c r="B48" s="208"/>
      <c r="C48" s="247"/>
      <c r="D48" s="272"/>
      <c r="E48" s="271"/>
      <c r="F48" s="264"/>
      <c r="G48" s="181"/>
      <c r="H48" s="181"/>
      <c r="I48" s="181"/>
      <c r="J48" s="181"/>
      <c r="K48" s="181"/>
      <c r="L48" s="181"/>
      <c r="M48" s="181"/>
      <c r="N48" s="181"/>
    </row>
    <row r="49" spans="2:6" ht="15.6">
      <c r="B49" s="237" t="s">
        <v>35</v>
      </c>
      <c r="C49" s="259"/>
      <c r="D49" s="259"/>
      <c r="E49" s="260">
        <f>SUM(E43:E47)</f>
        <v>22024.549312202536</v>
      </c>
      <c r="F49" s="257"/>
    </row>
    <row r="50" spans="2:6" ht="16.2" thickBot="1">
      <c r="B50" s="275" t="s">
        <v>38</v>
      </c>
      <c r="C50" s="319"/>
      <c r="D50" s="277">
        <f>M13</f>
        <v>0.12</v>
      </c>
      <c r="E50" s="278">
        <f>D50*E49</f>
        <v>2642.9459174643043</v>
      </c>
      <c r="F50" s="248"/>
    </row>
    <row r="51" spans="2:6" ht="16.2" thickTop="1">
      <c r="B51" s="279" t="s">
        <v>41</v>
      </c>
      <c r="C51" s="281"/>
      <c r="D51" s="281"/>
      <c r="E51" s="282">
        <f>E49+E50</f>
        <v>24667.495229666842</v>
      </c>
      <c r="F51" s="248"/>
    </row>
    <row r="52" spans="2:6" ht="15.6">
      <c r="B52" s="320" t="str">
        <f>L14</f>
        <v xml:space="preserve">Rate review CAF FY22 </v>
      </c>
      <c r="C52" s="321"/>
      <c r="D52" s="322">
        <f>M14</f>
        <v>1.9959404600811814E-2</v>
      </c>
      <c r="E52" s="273">
        <f>(E51-E39)*D52</f>
        <v>198.76521905159703</v>
      </c>
      <c r="F52" s="248"/>
    </row>
    <row r="53" spans="2:6" ht="16.2" thickBot="1">
      <c r="B53" s="323" t="s">
        <v>278</v>
      </c>
      <c r="C53" s="324"/>
      <c r="D53" s="324"/>
      <c r="E53" s="325">
        <f>E51+E52</f>
        <v>24866.26044871844</v>
      </c>
      <c r="F53" s="248"/>
    </row>
    <row r="54" spans="2:6" ht="15.6">
      <c r="B54" s="326" t="s">
        <v>284</v>
      </c>
      <c r="C54" s="327"/>
      <c r="D54" s="328"/>
      <c r="E54" s="329">
        <f>E53/12</f>
        <v>2072.1883707265365</v>
      </c>
      <c r="F54" s="299"/>
    </row>
    <row r="55" spans="2:6" ht="15.6">
      <c r="B55" s="330" t="s">
        <v>285</v>
      </c>
      <c r="C55" s="331"/>
      <c r="D55" s="331"/>
      <c r="E55" s="332">
        <f>E53/52</f>
        <v>478.19731632150848</v>
      </c>
      <c r="F55" s="333"/>
    </row>
    <row r="56" spans="2:6" ht="16.2" thickBot="1">
      <c r="B56" s="334" t="s">
        <v>286</v>
      </c>
      <c r="C56" s="335"/>
      <c r="D56" s="335"/>
      <c r="E56" s="336">
        <f>E55/11</f>
        <v>43.472483301955315</v>
      </c>
      <c r="F56" s="333"/>
    </row>
    <row r="58" spans="2:6" ht="15.6">
      <c r="B58" s="181"/>
      <c r="C58" s="300"/>
      <c r="D58" s="221"/>
      <c r="E58" s="301"/>
      <c r="F58" s="302"/>
    </row>
    <row r="59" spans="2:6" ht="15.6">
      <c r="B59" s="181"/>
      <c r="C59" s="300"/>
      <c r="D59" s="221"/>
      <c r="E59" s="301"/>
      <c r="F59" s="302"/>
    </row>
    <row r="60" spans="2:6" ht="15.6">
      <c r="B60" s="181"/>
      <c r="C60" s="300"/>
      <c r="D60" s="221"/>
      <c r="E60" s="303"/>
      <c r="F60" s="302"/>
    </row>
    <row r="64" spans="2:6" ht="15.6" hidden="1">
      <c r="B64" s="337"/>
      <c r="C64" s="337"/>
      <c r="D64" s="181"/>
      <c r="E64" s="181"/>
      <c r="F64" s="181"/>
    </row>
    <row r="65" spans="2:5" ht="15.6" hidden="1">
      <c r="B65" s="338"/>
      <c r="C65" s="181"/>
      <c r="D65" s="181"/>
      <c r="E65" s="181"/>
    </row>
    <row r="66" spans="2:5" ht="15.6" hidden="1">
      <c r="B66" s="215"/>
      <c r="C66" s="181"/>
      <c r="D66" s="339"/>
      <c r="E66" s="340"/>
    </row>
    <row r="67" spans="2:5" ht="15.6" hidden="1">
      <c r="B67" s="308"/>
      <c r="C67" s="181"/>
      <c r="D67" s="214"/>
      <c r="E67" s="341"/>
    </row>
    <row r="68" spans="2:5" ht="15.6" hidden="1">
      <c r="B68" s="223"/>
      <c r="C68" s="181"/>
      <c r="D68" s="342"/>
      <c r="E68" s="341"/>
    </row>
    <row r="69" spans="2:5" ht="15.6" hidden="1">
      <c r="B69" s="223"/>
      <c r="C69" s="181"/>
      <c r="D69" s="214"/>
      <c r="E69" s="341"/>
    </row>
    <row r="70" spans="2:5" ht="15.6" hidden="1">
      <c r="B70" s="227"/>
      <c r="C70" s="181"/>
      <c r="D70" s="339"/>
      <c r="E70" s="343"/>
    </row>
    <row r="71" spans="2:5" ht="15.6" hidden="1">
      <c r="B71" s="344"/>
      <c r="C71" s="181"/>
      <c r="D71" s="345"/>
      <c r="E71" s="346"/>
    </row>
    <row r="72" spans="2:5" ht="15.6" hidden="1">
      <c r="B72" s="208"/>
      <c r="C72" s="181"/>
      <c r="D72" s="345"/>
      <c r="E72" s="346"/>
    </row>
    <row r="73" spans="2:5" ht="15.6" hidden="1">
      <c r="B73" s="344"/>
      <c r="C73" s="181"/>
      <c r="D73" s="339"/>
      <c r="E73" s="347"/>
    </row>
    <row r="74" spans="2:5" ht="15.6" hidden="1">
      <c r="B74" s="344"/>
      <c r="C74" s="181"/>
      <c r="D74" s="339"/>
      <c r="E74" s="347"/>
    </row>
    <row r="75" spans="2:5" ht="15.6" hidden="1">
      <c r="B75" s="181"/>
      <c r="C75" s="181"/>
      <c r="D75" s="181"/>
      <c r="E75" s="348"/>
    </row>
    <row r="76" spans="2:5" ht="16.2" hidden="1" thickBot="1">
      <c r="B76" s="349"/>
      <c r="C76" s="181"/>
      <c r="D76" s="345"/>
      <c r="E76" s="346"/>
    </row>
    <row r="77" spans="2:5" ht="16.2" hidden="1" thickBot="1">
      <c r="B77" s="350"/>
      <c r="C77" s="181"/>
      <c r="D77" s="181"/>
      <c r="E77" s="346"/>
    </row>
    <row r="78" spans="2:5" ht="15.6">
      <c r="B78" s="181"/>
      <c r="C78" s="181"/>
      <c r="D78" s="181"/>
      <c r="E78" s="181"/>
    </row>
  </sheetData>
  <mergeCells count="11">
    <mergeCell ref="G5:J5"/>
    <mergeCell ref="G12:J12"/>
    <mergeCell ref="G13:I14"/>
    <mergeCell ref="J13:J14"/>
    <mergeCell ref="B34:E34"/>
    <mergeCell ref="B2:E2"/>
    <mergeCell ref="G2:J2"/>
    <mergeCell ref="L2:N2"/>
    <mergeCell ref="B3:D4"/>
    <mergeCell ref="E3:E4"/>
    <mergeCell ref="G3:J3"/>
  </mergeCells>
  <pageMargins left="0.25" right="0.25" top="0.75" bottom="0.75" header="0.3" footer="0.3"/>
  <pageSetup orientation="landscape" r:id="rId1"/>
  <colBreaks count="1" manualBreakCount="1">
    <brk id="10" max="1048575" man="1"/>
  </colBreaks>
  <ignoredErrors>
    <ignoredError sqref="E52 E23 J3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0"/>
  <sheetViews>
    <sheetView showGridLines="0" zoomScale="80" zoomScaleNormal="80" workbookViewId="0">
      <selection activeCell="H27" sqref="H27"/>
    </sheetView>
  </sheetViews>
  <sheetFormatPr defaultColWidth="8.88671875" defaultRowHeight="14.4"/>
  <cols>
    <col min="1" max="1" width="1.6640625" style="352" customWidth="1"/>
    <col min="2" max="2" width="30.44140625" style="352" customWidth="1"/>
    <col min="3" max="3" width="10.88671875" style="352" bestFit="1" customWidth="1"/>
    <col min="4" max="4" width="14.44140625" style="352" customWidth="1"/>
    <col min="5" max="5" width="16.88671875" style="352" bestFit="1" customWidth="1"/>
    <col min="6" max="6" width="4.88671875" style="352" customWidth="1"/>
    <col min="7" max="7" width="5.44140625" style="352" customWidth="1"/>
    <col min="8" max="8" width="36.33203125" style="352" customWidth="1"/>
    <col min="9" max="9" width="13.33203125" style="352" hidden="1" customWidth="1"/>
    <col min="10" max="10" width="13.44140625" style="352" bestFit="1" customWidth="1"/>
    <col min="11" max="11" width="51.88671875" style="352" customWidth="1"/>
    <col min="12" max="16384" width="8.88671875" style="352"/>
  </cols>
  <sheetData>
    <row r="2" spans="2:11" ht="15" thickBot="1">
      <c r="B2" s="351"/>
      <c r="C2" s="351"/>
      <c r="D2" s="351"/>
      <c r="E2" s="351"/>
    </row>
    <row r="3" spans="2:11" ht="15" thickBot="1">
      <c r="B3" s="353" t="s">
        <v>289</v>
      </c>
      <c r="C3" s="354"/>
      <c r="D3" s="354"/>
      <c r="E3" s="355"/>
      <c r="F3" s="356"/>
      <c r="H3" s="931" t="s">
        <v>0</v>
      </c>
      <c r="I3" s="932"/>
      <c r="J3" s="932"/>
      <c r="K3" s="933"/>
    </row>
    <row r="4" spans="2:11">
      <c r="B4" s="357"/>
      <c r="C4" s="358" t="s">
        <v>5</v>
      </c>
      <c r="D4" s="359" t="s">
        <v>6</v>
      </c>
      <c r="E4" s="360" t="s">
        <v>7</v>
      </c>
      <c r="F4" s="361"/>
      <c r="H4" s="362"/>
      <c r="I4" s="934" t="s">
        <v>290</v>
      </c>
      <c r="J4" s="934" t="s">
        <v>3</v>
      </c>
      <c r="K4" s="935" t="s">
        <v>4</v>
      </c>
    </row>
    <row r="5" spans="2:11">
      <c r="B5" s="364" t="s">
        <v>9</v>
      </c>
      <c r="C5" s="365">
        <f>J6</f>
        <v>60923</v>
      </c>
      <c r="D5" s="366">
        <v>1</v>
      </c>
      <c r="E5" s="367">
        <f>C5*D5</f>
        <v>60923</v>
      </c>
      <c r="F5" s="368"/>
      <c r="G5" s="369"/>
      <c r="H5" s="687" t="s">
        <v>8</v>
      </c>
      <c r="I5" s="371"/>
      <c r="J5" s="371"/>
      <c r="K5" s="372"/>
    </row>
    <row r="6" spans="2:11">
      <c r="B6" s="373" t="s">
        <v>291</v>
      </c>
      <c r="C6" s="374">
        <f>J8</f>
        <v>32198.400000000001</v>
      </c>
      <c r="D6" s="375">
        <v>2.5</v>
      </c>
      <c r="E6" s="376">
        <f t="shared" ref="E6:E8" si="0">C6*D6</f>
        <v>80496</v>
      </c>
      <c r="F6" s="368"/>
      <c r="G6" s="369"/>
      <c r="H6" s="377" t="s">
        <v>9</v>
      </c>
      <c r="I6" s="378">
        <f>[18]Salary!$AD$6</f>
        <v>55227.517929715519</v>
      </c>
      <c r="J6" s="378">
        <v>60923</v>
      </c>
      <c r="K6" s="372" t="s">
        <v>292</v>
      </c>
    </row>
    <row r="7" spans="2:11">
      <c r="B7" s="379" t="str">
        <f>H7</f>
        <v>Direct Care III</v>
      </c>
      <c r="C7" s="374">
        <f>J7</f>
        <v>41516.800000000003</v>
      </c>
      <c r="D7" s="375">
        <v>0.5</v>
      </c>
      <c r="E7" s="376">
        <f>D7*C7</f>
        <v>20758.400000000001</v>
      </c>
      <c r="F7" s="368"/>
      <c r="G7" s="369"/>
      <c r="H7" s="377" t="s">
        <v>11</v>
      </c>
      <c r="I7" s="378"/>
      <c r="J7" s="378">
        <f>[18]Chart!C8</f>
        <v>41516.800000000003</v>
      </c>
      <c r="K7" s="372" t="s">
        <v>12</v>
      </c>
    </row>
    <row r="8" spans="2:11">
      <c r="B8" s="380" t="s">
        <v>14</v>
      </c>
      <c r="C8" s="381">
        <f>J9</f>
        <v>32198.400000000001</v>
      </c>
      <c r="D8" s="382">
        <v>0.25</v>
      </c>
      <c r="E8" s="383">
        <f t="shared" si="0"/>
        <v>8049.6</v>
      </c>
      <c r="F8" s="368"/>
      <c r="G8" s="369"/>
      <c r="H8" s="377" t="s">
        <v>13</v>
      </c>
      <c r="I8" s="378">
        <f>[18]Salary!$AD$28</f>
        <v>31575.326535341828</v>
      </c>
      <c r="J8" s="378">
        <f>[18]Chart!C6</f>
        <v>32198.400000000001</v>
      </c>
      <c r="K8" s="372" t="s">
        <v>12</v>
      </c>
    </row>
    <row r="9" spans="2:11">
      <c r="B9" s="373"/>
      <c r="C9" s="374"/>
      <c r="D9" s="375"/>
      <c r="E9" s="384"/>
      <c r="F9" s="368"/>
      <c r="G9" s="369"/>
      <c r="H9" s="377" t="s">
        <v>14</v>
      </c>
      <c r="I9" s="378">
        <f>[18]Salary!$AD$35</f>
        <v>31005.955465587038</v>
      </c>
      <c r="J9" s="378">
        <f>[18]Chart!C6</f>
        <v>32198.400000000001</v>
      </c>
      <c r="K9" s="372" t="s">
        <v>12</v>
      </c>
    </row>
    <row r="10" spans="2:11">
      <c r="B10" s="385" t="s">
        <v>16</v>
      </c>
      <c r="C10" s="386"/>
      <c r="D10" s="387">
        <f>SUM(D5:D8)</f>
        <v>4.25</v>
      </c>
      <c r="E10" s="388">
        <f>SUM(E5:E8)</f>
        <v>170227</v>
      </c>
      <c r="F10" s="389"/>
      <c r="G10" s="390"/>
      <c r="H10" s="391" t="s">
        <v>6</v>
      </c>
      <c r="I10" s="392"/>
      <c r="J10" s="392"/>
      <c r="K10" s="372"/>
    </row>
    <row r="11" spans="2:11">
      <c r="B11" s="29"/>
      <c r="C11" s="393"/>
      <c r="D11" s="393"/>
      <c r="E11" s="394"/>
      <c r="F11" s="374"/>
      <c r="G11" s="46"/>
      <c r="H11" s="395" t="s">
        <v>9</v>
      </c>
      <c r="I11" s="396">
        <f>[18]Salary!$AB$8</f>
        <v>0.76054545454545452</v>
      </c>
      <c r="J11" s="396">
        <v>1</v>
      </c>
      <c r="K11" s="394" t="s">
        <v>293</v>
      </c>
    </row>
    <row r="12" spans="2:11">
      <c r="B12" s="397" t="s">
        <v>20</v>
      </c>
      <c r="C12" s="398"/>
      <c r="D12" s="399">
        <f>J15</f>
        <v>0.224</v>
      </c>
      <c r="E12" s="400">
        <f>D12*E10</f>
        <v>38130.847999999998</v>
      </c>
      <c r="F12" s="401"/>
      <c r="G12" s="46"/>
      <c r="H12" s="395" t="s">
        <v>13</v>
      </c>
      <c r="I12" s="396">
        <f>[18]Salary!$AB$30</f>
        <v>2.9420454545454549</v>
      </c>
      <c r="J12" s="396">
        <v>3</v>
      </c>
      <c r="K12" s="394" t="s">
        <v>293</v>
      </c>
    </row>
    <row r="13" spans="2:11" ht="15" customHeight="1">
      <c r="B13" s="29" t="s">
        <v>39</v>
      </c>
      <c r="C13" s="393"/>
      <c r="D13" s="402">
        <f>J22</f>
        <v>3.7000000000000002E-3</v>
      </c>
      <c r="E13" s="403">
        <f>D13*E10</f>
        <v>629.83990000000006</v>
      </c>
      <c r="F13" s="393"/>
      <c r="G13" s="46"/>
      <c r="H13" s="395" t="s">
        <v>14</v>
      </c>
      <c r="I13" s="404">
        <f>[18]Salary!$AB$37</f>
        <v>0.11227272727272729</v>
      </c>
      <c r="J13" s="404">
        <v>0.25</v>
      </c>
      <c r="K13" s="394" t="s">
        <v>293</v>
      </c>
    </row>
    <row r="14" spans="2:11">
      <c r="B14" s="385" t="s">
        <v>23</v>
      </c>
      <c r="C14" s="405"/>
      <c r="D14" s="405"/>
      <c r="E14" s="406">
        <f>E12+E10</f>
        <v>208357.848</v>
      </c>
      <c r="F14" s="407"/>
      <c r="G14" s="390"/>
      <c r="H14" s="391" t="s">
        <v>24</v>
      </c>
      <c r="I14" s="392"/>
      <c r="J14" s="943"/>
      <c r="K14" s="936"/>
    </row>
    <row r="15" spans="2:11">
      <c r="B15" s="397"/>
      <c r="C15" s="393"/>
      <c r="D15" s="393"/>
      <c r="E15" s="408"/>
      <c r="F15" s="409"/>
      <c r="G15" s="390"/>
      <c r="H15" s="410" t="s">
        <v>25</v>
      </c>
      <c r="I15" s="411">
        <f>[18]Pivots!$E$28+[18]Pivots!$E$29</f>
        <v>0.12813673533198905</v>
      </c>
      <c r="J15" s="411">
        <v>0.224</v>
      </c>
      <c r="K15" s="372" t="s">
        <v>26</v>
      </c>
    </row>
    <row r="16" spans="2:11">
      <c r="B16" s="397" t="s">
        <v>27</v>
      </c>
      <c r="C16" s="393"/>
      <c r="D16" s="412">
        <f>J16</f>
        <v>4000</v>
      </c>
      <c r="E16" s="413">
        <f>D16*D10</f>
        <v>17000</v>
      </c>
      <c r="F16" s="407"/>
      <c r="G16" s="390"/>
      <c r="H16" s="410" t="s">
        <v>294</v>
      </c>
      <c r="I16" s="414">
        <v>1541</v>
      </c>
      <c r="J16" s="414">
        <v>4000</v>
      </c>
      <c r="K16" s="372" t="s">
        <v>295</v>
      </c>
    </row>
    <row r="17" spans="2:11">
      <c r="B17" s="397" t="s">
        <v>277</v>
      </c>
      <c r="C17" s="393"/>
      <c r="D17" s="412">
        <f>J17</f>
        <v>2700.8700767999999</v>
      </c>
      <c r="E17" s="413">
        <f>D17*D10</f>
        <v>11478.697826399999</v>
      </c>
      <c r="F17" s="415"/>
      <c r="G17" s="46"/>
      <c r="H17" s="410" t="s">
        <v>296</v>
      </c>
      <c r="I17" s="414">
        <f>[18]Pivots!$D$32</f>
        <v>6153.4500865996679</v>
      </c>
      <c r="J17" s="414">
        <f>2520*(4.38%+1)*(2.68%+1)</f>
        <v>2700.8700767999999</v>
      </c>
      <c r="K17" s="372" t="s">
        <v>164</v>
      </c>
    </row>
    <row r="18" spans="2:11">
      <c r="B18" s="416" t="s">
        <v>297</v>
      </c>
      <c r="C18" s="393"/>
      <c r="D18" s="393"/>
      <c r="E18" s="408">
        <f>J18</f>
        <v>14000</v>
      </c>
      <c r="F18" s="417"/>
      <c r="G18" s="390"/>
      <c r="H18" s="410" t="s">
        <v>297</v>
      </c>
      <c r="I18" s="414">
        <f>[18]Pivots!$C$37</f>
        <v>1164.5454545454545</v>
      </c>
      <c r="J18" s="414">
        <v>14000</v>
      </c>
      <c r="K18" s="372" t="s">
        <v>295</v>
      </c>
    </row>
    <row r="19" spans="2:11">
      <c r="B19" s="397" t="s">
        <v>29</v>
      </c>
      <c r="C19" s="393"/>
      <c r="D19" s="418"/>
      <c r="E19" s="413">
        <f>J19</f>
        <v>24650.798320000002</v>
      </c>
      <c r="F19" s="417"/>
      <c r="G19" s="390"/>
      <c r="H19" s="410" t="s">
        <v>298</v>
      </c>
      <c r="I19" s="414">
        <f>[18]Pivots!$C$45</f>
        <v>8188.59</v>
      </c>
      <c r="J19" s="414">
        <f>23000*(4.38%+1)*(2.68%+1)</f>
        <v>24650.798320000002</v>
      </c>
      <c r="K19" s="372" t="s">
        <v>299</v>
      </c>
    </row>
    <row r="20" spans="2:11">
      <c r="B20" s="385" t="s">
        <v>35</v>
      </c>
      <c r="C20" s="419"/>
      <c r="D20" s="419"/>
      <c r="E20" s="420">
        <f>SUM(E14:E19)</f>
        <v>275487.34414639999</v>
      </c>
      <c r="F20" s="417"/>
      <c r="G20" s="390"/>
      <c r="H20" s="410" t="s">
        <v>33</v>
      </c>
      <c r="I20" s="421">
        <f>[18]Pivots!$E$27</f>
        <v>0.10213346631589997</v>
      </c>
      <c r="J20" s="421">
        <v>0.12</v>
      </c>
      <c r="K20" s="372" t="s">
        <v>34</v>
      </c>
    </row>
    <row r="21" spans="2:11" ht="15" thickBot="1">
      <c r="B21" s="422" t="s">
        <v>38</v>
      </c>
      <c r="C21" s="423"/>
      <c r="D21" s="424">
        <f>J20</f>
        <v>0.12</v>
      </c>
      <c r="E21" s="425">
        <f>E20*D21</f>
        <v>33058.481297567996</v>
      </c>
      <c r="F21" s="417"/>
      <c r="G21" s="390"/>
      <c r="H21" s="426" t="s">
        <v>181</v>
      </c>
      <c r="I21" s="427" t="s">
        <v>300</v>
      </c>
      <c r="J21" s="929">
        <f>'[18]CAF Fall 2020'!CA25</f>
        <v>1.9959404600811814E-2</v>
      </c>
      <c r="K21" s="426" t="s">
        <v>301</v>
      </c>
    </row>
    <row r="22" spans="2:11" ht="15.6" thickTop="1" thickBot="1">
      <c r="B22" s="428" t="s">
        <v>302</v>
      </c>
      <c r="C22" s="429"/>
      <c r="D22" s="429"/>
      <c r="E22" s="430">
        <f>E20+E21</f>
        <v>308545.825443968</v>
      </c>
      <c r="F22" s="431"/>
      <c r="G22" s="369"/>
      <c r="H22" s="944" t="s">
        <v>39</v>
      </c>
      <c r="I22" s="432"/>
      <c r="J22" s="930">
        <v>3.7000000000000002E-3</v>
      </c>
      <c r="K22" s="433" t="s">
        <v>40</v>
      </c>
    </row>
    <row r="23" spans="2:11" ht="15" thickBot="1">
      <c r="B23" s="434" t="s">
        <v>181</v>
      </c>
      <c r="C23" s="435"/>
      <c r="D23" s="436">
        <f>J21</f>
        <v>1.9959404600811814E-2</v>
      </c>
      <c r="E23" s="437">
        <f>(E22-E10)*D23</f>
        <v>2760.7614009452209</v>
      </c>
      <c r="F23" s="431"/>
      <c r="H23" s="438"/>
      <c r="I23" s="438"/>
      <c r="J23" s="438"/>
    </row>
    <row r="24" spans="2:11" ht="15" thickBot="1">
      <c r="B24" s="439" t="s">
        <v>42</v>
      </c>
      <c r="C24" s="432"/>
      <c r="D24" s="440"/>
      <c r="E24" s="441">
        <f>E22+E23</f>
        <v>311306.5868449132</v>
      </c>
      <c r="F24" s="431"/>
      <c r="G24" s="369"/>
    </row>
    <row r="25" spans="2:11" ht="15" thickBot="1">
      <c r="B25" s="442" t="s">
        <v>43</v>
      </c>
      <c r="C25" s="432"/>
      <c r="D25" s="440"/>
      <c r="E25" s="443">
        <f>E24/12</f>
        <v>25942.215570409433</v>
      </c>
      <c r="F25" s="444"/>
      <c r="G25" s="369"/>
    </row>
    <row r="26" spans="2:11">
      <c r="D26" s="445"/>
      <c r="E26" s="446"/>
      <c r="F26" s="447"/>
    </row>
    <row r="27" spans="2:11">
      <c r="F27" s="448"/>
      <c r="G27" s="369"/>
    </row>
    <row r="28" spans="2:11">
      <c r="F28" s="448"/>
    </row>
    <row r="30" spans="2:11">
      <c r="E30" s="449"/>
    </row>
  </sheetData>
  <mergeCells count="4">
    <mergeCell ref="B2:E2"/>
    <mergeCell ref="B3:E3"/>
    <mergeCell ref="H3:K3"/>
    <mergeCell ref="H23:J23"/>
  </mergeCells>
  <pageMargins left="0.25" right="0.25" top="0.75" bottom="0.75" header="0.3" footer="0.3"/>
  <pageSetup scale="71" orientation="landscape" r:id="rId1"/>
  <ignoredErrors>
    <ignoredError sqref="E7 E2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4"/>
  <sheetViews>
    <sheetView showGridLines="0" zoomScale="80" zoomScaleNormal="80" zoomScaleSheetLayoutView="100" workbookViewId="0">
      <selection activeCell="K28" sqref="K28"/>
    </sheetView>
  </sheetViews>
  <sheetFormatPr defaultColWidth="8.88671875" defaultRowHeight="14.4"/>
  <cols>
    <col min="1" max="1" width="1.6640625" style="352" customWidth="1"/>
    <col min="2" max="2" width="30.44140625" style="352" customWidth="1"/>
    <col min="3" max="3" width="10.88671875" style="352" bestFit="1" customWidth="1"/>
    <col min="4" max="4" width="14.44140625" style="352" customWidth="1"/>
    <col min="5" max="5" width="16.88671875" style="352" bestFit="1" customWidth="1"/>
    <col min="6" max="6" width="1.33203125" style="352" customWidth="1"/>
    <col min="7" max="7" width="8.88671875" style="352"/>
    <col min="8" max="8" width="35.33203125" style="352" bestFit="1" customWidth="1"/>
    <col min="9" max="9" width="13.33203125" style="352" hidden="1" customWidth="1"/>
    <col min="10" max="10" width="13.44140625" style="352" bestFit="1" customWidth="1"/>
    <col min="11" max="11" width="53.33203125" style="352" customWidth="1"/>
    <col min="12" max="16384" width="8.88671875" style="352"/>
  </cols>
  <sheetData>
    <row r="2" spans="2:11" ht="15" thickBot="1">
      <c r="B2" s="351"/>
      <c r="C2" s="351"/>
      <c r="D2" s="351"/>
      <c r="E2" s="351"/>
    </row>
    <row r="3" spans="2:11" ht="15" thickBot="1">
      <c r="B3" s="450" t="s">
        <v>303</v>
      </c>
      <c r="C3" s="451"/>
      <c r="D3" s="451"/>
      <c r="E3" s="452"/>
      <c r="H3" s="931" t="s">
        <v>0</v>
      </c>
      <c r="I3" s="932"/>
      <c r="J3" s="932"/>
      <c r="K3" s="933"/>
    </row>
    <row r="4" spans="2:11">
      <c r="B4" s="357"/>
      <c r="C4" s="358" t="s">
        <v>5</v>
      </c>
      <c r="D4" s="359" t="s">
        <v>6</v>
      </c>
      <c r="E4" s="360" t="s">
        <v>7</v>
      </c>
      <c r="H4" s="362"/>
      <c r="I4" s="934" t="s">
        <v>290</v>
      </c>
      <c r="J4" s="934" t="s">
        <v>3</v>
      </c>
      <c r="K4" s="935" t="s">
        <v>4</v>
      </c>
    </row>
    <row r="5" spans="2:11">
      <c r="B5" s="453" t="s">
        <v>9</v>
      </c>
      <c r="C5" s="454">
        <f>J6</f>
        <v>60923</v>
      </c>
      <c r="D5" s="375">
        <v>1</v>
      </c>
      <c r="E5" s="376">
        <f>C5*D5</f>
        <v>60923</v>
      </c>
      <c r="F5" s="46"/>
      <c r="G5" s="46"/>
      <c r="H5" s="391" t="s">
        <v>8</v>
      </c>
      <c r="I5" s="455"/>
      <c r="J5" s="455"/>
      <c r="K5" s="394"/>
    </row>
    <row r="6" spans="2:11">
      <c r="B6" s="456" t="str">
        <f>H7</f>
        <v>Clinical (LICSW)</v>
      </c>
      <c r="C6" s="374">
        <f>J7</f>
        <v>60923.199999999997</v>
      </c>
      <c r="D6" s="375">
        <v>0.499</v>
      </c>
      <c r="E6" s="376">
        <f>C6*D6</f>
        <v>30400.676799999997</v>
      </c>
      <c r="F6" s="46"/>
      <c r="G6" s="46"/>
      <c r="H6" s="377" t="s">
        <v>9</v>
      </c>
      <c r="I6" s="378">
        <f>[18]Salary!$AD$6</f>
        <v>55227.517929715519</v>
      </c>
      <c r="J6" s="378">
        <f>'[18]Model I Budget'!J6</f>
        <v>60923</v>
      </c>
      <c r="K6" s="372" t="s">
        <v>292</v>
      </c>
    </row>
    <row r="7" spans="2:11">
      <c r="B7" s="457" t="s">
        <v>291</v>
      </c>
      <c r="C7" s="374">
        <f>J9</f>
        <v>32198.400000000001</v>
      </c>
      <c r="D7" s="375">
        <v>1</v>
      </c>
      <c r="E7" s="376">
        <f t="shared" ref="E7:E9" si="0">C7*D7</f>
        <v>32198.400000000001</v>
      </c>
      <c r="F7" s="46"/>
      <c r="G7" s="46"/>
      <c r="H7" s="377" t="s">
        <v>304</v>
      </c>
      <c r="I7" s="378">
        <f>[18]Salary!$AD$17</f>
        <v>43178.164933135224</v>
      </c>
      <c r="J7" s="378">
        <f>[18]Chart!C16</f>
        <v>60923.199999999997</v>
      </c>
      <c r="K7" s="372" t="s">
        <v>12</v>
      </c>
    </row>
    <row r="8" spans="2:11">
      <c r="B8" s="456" t="str">
        <f>H8</f>
        <v>Direct Care III</v>
      </c>
      <c r="C8" s="374">
        <f>J8</f>
        <v>41516.800000000003</v>
      </c>
      <c r="D8" s="375">
        <v>0.5</v>
      </c>
      <c r="E8" s="376">
        <f t="shared" si="0"/>
        <v>20758.400000000001</v>
      </c>
      <c r="F8" s="46"/>
      <c r="G8" s="46"/>
      <c r="H8" s="377" t="str">
        <f>'[18]Model I Budget'!H7</f>
        <v>Direct Care III</v>
      </c>
      <c r="I8" s="377">
        <f>'[18]Model I Budget'!I7</f>
        <v>0</v>
      </c>
      <c r="J8" s="378">
        <f>[18]Chart!C8</f>
        <v>41516.800000000003</v>
      </c>
      <c r="K8" s="372" t="s">
        <v>12</v>
      </c>
    </row>
    <row r="9" spans="2:11">
      <c r="B9" s="458" t="s">
        <v>14</v>
      </c>
      <c r="C9" s="381">
        <f>J10</f>
        <v>32198.400000000001</v>
      </c>
      <c r="D9" s="382">
        <v>0.2</v>
      </c>
      <c r="E9" s="383">
        <f t="shared" si="0"/>
        <v>6439.68</v>
      </c>
      <c r="F9" s="46"/>
      <c r="G9" s="46"/>
      <c r="H9" s="377" t="s">
        <v>13</v>
      </c>
      <c r="I9" s="378">
        <f>[18]Salary!$AD$28</f>
        <v>31575.326535341828</v>
      </c>
      <c r="J9" s="378">
        <f>[18]Chart!C6</f>
        <v>32198.400000000001</v>
      </c>
      <c r="K9" s="372" t="s">
        <v>12</v>
      </c>
    </row>
    <row r="10" spans="2:11">
      <c r="B10" s="457"/>
      <c r="C10" s="374"/>
      <c r="D10" s="375"/>
      <c r="E10" s="384"/>
      <c r="F10" s="46"/>
      <c r="G10" s="46"/>
      <c r="H10" s="377" t="s">
        <v>14</v>
      </c>
      <c r="I10" s="378">
        <f>[18]Salary!$AD$35</f>
        <v>31005.955465587038</v>
      </c>
      <c r="J10" s="378">
        <f>[18]Chart!C6</f>
        <v>32198.400000000001</v>
      </c>
      <c r="K10" s="372" t="s">
        <v>12</v>
      </c>
    </row>
    <row r="11" spans="2:11">
      <c r="B11" s="459" t="s">
        <v>16</v>
      </c>
      <c r="C11" s="386"/>
      <c r="D11" s="387">
        <f>SUM(D5:D9)</f>
        <v>3.1990000000000003</v>
      </c>
      <c r="E11" s="388">
        <f>SUM(E5:E9)</f>
        <v>150720.1568</v>
      </c>
      <c r="F11" s="46"/>
      <c r="G11" s="46"/>
      <c r="H11" s="391" t="s">
        <v>6</v>
      </c>
      <c r="I11" s="392"/>
      <c r="J11" s="392"/>
      <c r="K11" s="936"/>
    </row>
    <row r="12" spans="2:11">
      <c r="B12" s="410"/>
      <c r="C12" s="393"/>
      <c r="D12" s="393"/>
      <c r="E12" s="394"/>
      <c r="F12" s="46"/>
      <c r="G12" s="46"/>
      <c r="H12" s="395" t="s">
        <v>9</v>
      </c>
      <c r="I12" s="396">
        <f>[18]Salary!$AB$8</f>
        <v>0.76054545454545452</v>
      </c>
      <c r="J12" s="396">
        <v>1</v>
      </c>
      <c r="K12" s="460" t="s">
        <v>293</v>
      </c>
    </row>
    <row r="13" spans="2:11">
      <c r="B13" s="416" t="s">
        <v>20</v>
      </c>
      <c r="C13" s="398"/>
      <c r="D13" s="399">
        <f>J17</f>
        <v>0.224</v>
      </c>
      <c r="E13" s="400">
        <f>D13*E11</f>
        <v>33761.315123200002</v>
      </c>
      <c r="F13" s="46"/>
      <c r="G13" s="46"/>
      <c r="H13" s="377" t="s">
        <v>305</v>
      </c>
      <c r="I13" s="396">
        <f>[18]Salary!$AB$19</f>
        <v>0.30590909090909091</v>
      </c>
      <c r="J13" s="396">
        <v>0.5</v>
      </c>
      <c r="K13" s="460" t="s">
        <v>293</v>
      </c>
    </row>
    <row r="14" spans="2:11">
      <c r="B14" s="416" t="s">
        <v>39</v>
      </c>
      <c r="C14" s="393"/>
      <c r="D14" s="402">
        <f>J24</f>
        <v>3.7000000000000002E-3</v>
      </c>
      <c r="E14" s="403">
        <f>E11*D14</f>
        <v>557.66458016000001</v>
      </c>
      <c r="F14" s="46"/>
      <c r="G14" s="46"/>
      <c r="H14" s="395" t="s">
        <v>13</v>
      </c>
      <c r="I14" s="396">
        <f>[18]Salary!$AB$30</f>
        <v>2.9420454545454549</v>
      </c>
      <c r="J14" s="396">
        <v>1.5</v>
      </c>
      <c r="K14" s="460" t="s">
        <v>293</v>
      </c>
    </row>
    <row r="15" spans="2:11">
      <c r="B15" s="459" t="s">
        <v>23</v>
      </c>
      <c r="C15" s="405"/>
      <c r="D15" s="405"/>
      <c r="E15" s="406">
        <f>E13+E11</f>
        <v>184481.47192320001</v>
      </c>
      <c r="F15" s="46"/>
      <c r="G15" s="46"/>
      <c r="H15" s="395" t="s">
        <v>14</v>
      </c>
      <c r="I15" s="404">
        <f>[18]Salary!$AB$37</f>
        <v>0.11227272727272729</v>
      </c>
      <c r="J15" s="404">
        <v>0.2</v>
      </c>
      <c r="K15" s="460" t="s">
        <v>293</v>
      </c>
    </row>
    <row r="16" spans="2:11">
      <c r="B16" s="416"/>
      <c r="C16" s="393"/>
      <c r="D16" s="393"/>
      <c r="E16" s="408"/>
      <c r="F16" s="46"/>
      <c r="G16" s="46"/>
      <c r="H16" s="391" t="s">
        <v>24</v>
      </c>
      <c r="I16" s="392"/>
      <c r="J16" s="943"/>
      <c r="K16" s="936"/>
    </row>
    <row r="17" spans="2:11">
      <c r="B17" s="416" t="s">
        <v>27</v>
      </c>
      <c r="C17" s="393"/>
      <c r="D17" s="412">
        <f>J18</f>
        <v>5000</v>
      </c>
      <c r="E17" s="413">
        <f>D17*D11</f>
        <v>15995.000000000002</v>
      </c>
      <c r="F17" s="46"/>
      <c r="G17" s="46"/>
      <c r="H17" s="410" t="s">
        <v>25</v>
      </c>
      <c r="I17" s="411">
        <f>[18]Pivots!$E$28+[18]Pivots!$E$29</f>
        <v>0.12813673533198905</v>
      </c>
      <c r="J17" s="411">
        <v>0.224</v>
      </c>
      <c r="K17" s="372" t="s">
        <v>26</v>
      </c>
    </row>
    <row r="18" spans="2:11">
      <c r="B18" s="416" t="s">
        <v>277</v>
      </c>
      <c r="C18" s="393"/>
      <c r="D18" s="412">
        <f>J19</f>
        <v>4287.0953599999993</v>
      </c>
      <c r="E18" s="413">
        <f>D18*D11</f>
        <v>13714.418056639999</v>
      </c>
      <c r="F18" s="46"/>
      <c r="G18" s="46"/>
      <c r="H18" s="410" t="s">
        <v>294</v>
      </c>
      <c r="I18" s="414">
        <v>4218</v>
      </c>
      <c r="J18" s="414">
        <v>5000</v>
      </c>
      <c r="K18" s="372" t="s">
        <v>295</v>
      </c>
    </row>
    <row r="19" spans="2:11">
      <c r="B19" s="416" t="s">
        <v>306</v>
      </c>
      <c r="C19" s="393"/>
      <c r="D19" s="412"/>
      <c r="E19" s="413">
        <f>J20</f>
        <v>4474.6557820000007</v>
      </c>
      <c r="F19" s="46"/>
      <c r="G19" s="46"/>
      <c r="H19" s="410" t="s">
        <v>296</v>
      </c>
      <c r="I19" s="414">
        <f>[18]Pivots!$D$32</f>
        <v>6153.4500865996679</v>
      </c>
      <c r="J19" s="414">
        <f>4000*(4.38%+1)*(2.68%+1)</f>
        <v>4287.0953599999993</v>
      </c>
      <c r="K19" s="372" t="s">
        <v>164</v>
      </c>
    </row>
    <row r="20" spans="2:11">
      <c r="B20" s="416" t="s">
        <v>29</v>
      </c>
      <c r="C20" s="393"/>
      <c r="D20" s="418"/>
      <c r="E20" s="413">
        <f>J21</f>
        <v>20757.043959279999</v>
      </c>
      <c r="F20" s="46"/>
      <c r="G20" s="46"/>
      <c r="H20" s="410" t="s">
        <v>307</v>
      </c>
      <c r="I20" s="414">
        <f>[18]Pivots!$C$37</f>
        <v>1164.5454545454545</v>
      </c>
      <c r="J20" s="414">
        <f>4175*(4.38%+1)*(2.68%+1)</f>
        <v>4474.6557820000007</v>
      </c>
      <c r="K20" s="372" t="s">
        <v>308</v>
      </c>
    </row>
    <row r="21" spans="2:11">
      <c r="B21" s="459" t="s">
        <v>35</v>
      </c>
      <c r="C21" s="405"/>
      <c r="D21" s="405"/>
      <c r="E21" s="461">
        <f>E15+E17+E18+E16+E20+E19</f>
        <v>239422.58972111999</v>
      </c>
      <c r="F21" s="46"/>
      <c r="G21" s="46"/>
      <c r="H21" s="410" t="s">
        <v>309</v>
      </c>
      <c r="I21" s="414">
        <f>[18]Pivots!$C$45</f>
        <v>8188.59</v>
      </c>
      <c r="J21" s="414">
        <f>19367*(4.38%+1)*(2.68%+1)</f>
        <v>20757.043959279999</v>
      </c>
      <c r="K21" s="372" t="s">
        <v>299</v>
      </c>
    </row>
    <row r="22" spans="2:11" ht="15" thickBot="1">
      <c r="B22" s="422" t="s">
        <v>38</v>
      </c>
      <c r="C22" s="462"/>
      <c r="D22" s="462">
        <f>J22</f>
        <v>0.12</v>
      </c>
      <c r="E22" s="425">
        <f>E21*D22</f>
        <v>28730.710766534397</v>
      </c>
      <c r="F22" s="46"/>
      <c r="G22" s="46"/>
      <c r="H22" s="410" t="s">
        <v>33</v>
      </c>
      <c r="I22" s="421">
        <f>[18]Pivots!$E$27</f>
        <v>0.10213346631589997</v>
      </c>
      <c r="J22" s="421">
        <v>0.12</v>
      </c>
      <c r="K22" s="372" t="s">
        <v>34</v>
      </c>
    </row>
    <row r="23" spans="2:11" ht="15.6" thickTop="1" thickBot="1">
      <c r="B23" s="397" t="s">
        <v>41</v>
      </c>
      <c r="C23" s="463"/>
      <c r="D23" s="463"/>
      <c r="E23" s="464">
        <f>SUM(E21:E22)</f>
        <v>268153.3004876544</v>
      </c>
      <c r="H23" s="465" t="s">
        <v>181</v>
      </c>
      <c r="I23" s="466"/>
      <c r="J23" s="945">
        <f>'[18]CAF Fall 2020'!CA25</f>
        <v>1.9959404600811814E-2</v>
      </c>
      <c r="K23" s="465" t="s">
        <v>310</v>
      </c>
    </row>
    <row r="24" spans="2:11" ht="15" thickBot="1">
      <c r="B24" s="439" t="s">
        <v>181</v>
      </c>
      <c r="C24" s="432"/>
      <c r="D24" s="440">
        <f>J23</f>
        <v>1.9959404600811814E-2</v>
      </c>
      <c r="E24" s="467">
        <f>(E23-E11)*D24</f>
        <v>2343.8956284071642</v>
      </c>
      <c r="H24" s="468" t="s">
        <v>39</v>
      </c>
      <c r="I24" s="432"/>
      <c r="J24" s="946">
        <v>3.7000000000000002E-3</v>
      </c>
      <c r="K24" s="469" t="str">
        <f>'[18]Model I'!K22</f>
        <v>Effective 7/1/19</v>
      </c>
    </row>
    <row r="25" spans="2:11" ht="15" thickBot="1">
      <c r="B25" s="439" t="s">
        <v>42</v>
      </c>
      <c r="C25" s="432"/>
      <c r="D25" s="432"/>
      <c r="E25" s="470">
        <f>E23+E24</f>
        <v>270497.19611606159</v>
      </c>
    </row>
    <row r="26" spans="2:11" ht="15" thickBot="1">
      <c r="B26" s="471" t="s">
        <v>43</v>
      </c>
      <c r="C26" s="432"/>
      <c r="D26" s="432"/>
      <c r="E26" s="472">
        <f>E25/12</f>
        <v>22541.4330096718</v>
      </c>
      <c r="H26" s="438"/>
      <c r="I26" s="438"/>
      <c r="J26" s="438"/>
    </row>
    <row r="27" spans="2:11">
      <c r="D27" s="445"/>
      <c r="E27" s="446"/>
    </row>
    <row r="28" spans="2:11" ht="15" customHeight="1"/>
    <row r="29" spans="2:11" ht="15" customHeight="1"/>
    <row r="30" spans="2:11" ht="15" customHeight="1">
      <c r="E30" s="449"/>
    </row>
    <row r="31" spans="2:11" ht="15" customHeight="1">
      <c r="B31" s="681"/>
      <c r="C31" s="473"/>
      <c r="D31" s="473"/>
      <c r="E31" s="447"/>
    </row>
    <row r="32" spans="2:11">
      <c r="B32" s="681"/>
      <c r="C32" s="473"/>
      <c r="D32" s="473"/>
      <c r="E32" s="447"/>
    </row>
    <row r="33" spans="2:5">
      <c r="D33" s="937"/>
      <c r="E33" s="937"/>
    </row>
    <row r="34" spans="2:5">
      <c r="B34" s="681"/>
      <c r="D34" s="937"/>
      <c r="E34" s="937"/>
    </row>
    <row r="35" spans="2:5">
      <c r="B35" s="681"/>
      <c r="D35" s="937"/>
      <c r="E35" s="937"/>
    </row>
    <row r="36" spans="2:5">
      <c r="B36" s="681"/>
      <c r="D36" s="937"/>
      <c r="E36" s="937"/>
    </row>
    <row r="37" spans="2:5">
      <c r="B37" s="681"/>
      <c r="D37" s="938"/>
      <c r="E37" s="938"/>
    </row>
    <row r="38" spans="2:5">
      <c r="B38" s="681"/>
      <c r="D38" s="938"/>
      <c r="E38" s="938"/>
    </row>
    <row r="39" spans="2:5">
      <c r="B39" s="397"/>
      <c r="D39" s="939"/>
      <c r="E39" s="939"/>
    </row>
    <row r="40" spans="2:5">
      <c r="B40" s="397"/>
      <c r="D40" s="939"/>
      <c r="E40" s="939"/>
    </row>
    <row r="41" spans="2:5">
      <c r="B41" s="416"/>
      <c r="D41" s="940"/>
      <c r="E41" s="941"/>
    </row>
    <row r="42" spans="2:5">
      <c r="B42" s="397"/>
      <c r="D42" s="942"/>
      <c r="E42" s="941"/>
    </row>
    <row r="43" spans="2:5">
      <c r="D43" s="938"/>
      <c r="E43" s="938"/>
    </row>
    <row r="44" spans="2:5" ht="15" thickBot="1">
      <c r="B44" s="475"/>
      <c r="E44" s="476"/>
    </row>
  </sheetData>
  <mergeCells count="4">
    <mergeCell ref="B2:E2"/>
    <mergeCell ref="B3:E3"/>
    <mergeCell ref="H3:K3"/>
    <mergeCell ref="H26:J26"/>
  </mergeCells>
  <pageMargins left="0.25" right="0.25" top="0.75" bottom="0.75" header="0.3" footer="0.3"/>
  <pageSetup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10"/>
  <sheetViews>
    <sheetView showGridLines="0" zoomScale="80" zoomScaleNormal="80" zoomScaleSheetLayoutView="85" workbookViewId="0">
      <selection activeCell="J92" sqref="J92"/>
    </sheetView>
  </sheetViews>
  <sheetFormatPr defaultColWidth="8.88671875" defaultRowHeight="14.4"/>
  <cols>
    <col min="1" max="1" width="1.6640625" customWidth="1"/>
    <col min="2" max="2" width="30.44140625" customWidth="1"/>
    <col min="3" max="3" width="10.88671875" bestFit="1" customWidth="1"/>
    <col min="4" max="4" width="14.44140625" customWidth="1"/>
    <col min="5" max="5" width="16.88671875" bestFit="1" customWidth="1"/>
    <col min="6" max="6" width="6.44140625" customWidth="1"/>
    <col min="7" max="7" width="30.44140625" customWidth="1"/>
    <col min="8" max="8" width="10.88671875" bestFit="1" customWidth="1"/>
    <col min="9" max="9" width="14.44140625" customWidth="1"/>
    <col min="10" max="10" width="16.88671875" bestFit="1" customWidth="1"/>
    <col min="11" max="11" width="1.6640625" customWidth="1"/>
    <col min="12" max="12" width="8.88671875" customWidth="1"/>
    <col min="13" max="13" width="30" customWidth="1"/>
    <col min="14" max="14" width="13.33203125" hidden="1" customWidth="1"/>
    <col min="15" max="15" width="16.44140625" bestFit="1" customWidth="1"/>
    <col min="16" max="16" width="56.6640625" customWidth="1"/>
  </cols>
  <sheetData>
    <row r="1" spans="2:16" ht="15" thickBot="1">
      <c r="B1" s="477"/>
      <c r="C1" s="477"/>
      <c r="D1" s="477"/>
      <c r="E1" s="477"/>
      <c r="G1" s="477"/>
      <c r="H1" s="477"/>
      <c r="I1" s="477"/>
      <c r="J1" s="477"/>
    </row>
    <row r="2" spans="2:16" ht="15" thickBot="1">
      <c r="C2" s="478"/>
    </row>
    <row r="3" spans="2:16" ht="15" thickBot="1">
      <c r="B3" s="479" t="s">
        <v>311</v>
      </c>
      <c r="C3" s="480"/>
      <c r="D3" s="480"/>
      <c r="E3" s="481"/>
      <c r="G3" s="479" t="s">
        <v>312</v>
      </c>
      <c r="H3" s="480"/>
      <c r="I3" s="480"/>
      <c r="J3" s="481"/>
      <c r="K3" s="482"/>
      <c r="M3" s="3" t="s">
        <v>0</v>
      </c>
      <c r="N3" s="4"/>
      <c r="O3" s="4"/>
      <c r="P3" s="5"/>
    </row>
    <row r="4" spans="2:16">
      <c r="B4" s="1"/>
      <c r="C4" s="12" t="s">
        <v>5</v>
      </c>
      <c r="D4" s="483" t="s">
        <v>6</v>
      </c>
      <c r="E4" s="484" t="s">
        <v>7</v>
      </c>
      <c r="G4" s="1"/>
      <c r="H4" s="12" t="s">
        <v>5</v>
      </c>
      <c r="I4" s="483" t="s">
        <v>6</v>
      </c>
      <c r="J4" s="484" t="s">
        <v>7</v>
      </c>
      <c r="K4" s="485"/>
      <c r="M4" s="8"/>
      <c r="N4" s="9" t="s">
        <v>290</v>
      </c>
      <c r="O4" s="9" t="s">
        <v>3</v>
      </c>
      <c r="P4" s="10" t="s">
        <v>4</v>
      </c>
    </row>
    <row r="5" spans="2:16">
      <c r="B5" s="486" t="s">
        <v>9</v>
      </c>
      <c r="C5" s="487">
        <f>O6</f>
        <v>60923</v>
      </c>
      <c r="D5" s="488">
        <v>1</v>
      </c>
      <c r="E5" s="489">
        <f>C5*D5</f>
        <v>60923</v>
      </c>
      <c r="F5" s="47"/>
      <c r="G5" s="486" t="s">
        <v>9</v>
      </c>
      <c r="H5" s="487">
        <f>O6</f>
        <v>60923</v>
      </c>
      <c r="I5" s="488">
        <v>1</v>
      </c>
      <c r="J5" s="489">
        <f>H5*I5</f>
        <v>60923</v>
      </c>
      <c r="K5" s="490"/>
      <c r="L5" s="47"/>
      <c r="M5" s="491" t="s">
        <v>8</v>
      </c>
      <c r="N5" s="492"/>
      <c r="O5" s="492"/>
      <c r="P5" s="7"/>
    </row>
    <row r="6" spans="2:16">
      <c r="B6" s="493" t="str">
        <f>M7</f>
        <v>Clinical (LICSW)</v>
      </c>
      <c r="C6" s="494">
        <f t="shared" ref="C6:C9" si="0">O7</f>
        <v>60923.199999999997</v>
      </c>
      <c r="D6" s="488">
        <v>1</v>
      </c>
      <c r="E6" s="489">
        <f t="shared" ref="E6:E9" si="1">C6*D6</f>
        <v>60923.199999999997</v>
      </c>
      <c r="F6" s="47"/>
      <c r="G6" s="493" t="str">
        <f>M7</f>
        <v>Clinical (LICSW)</v>
      </c>
      <c r="H6" s="494">
        <f>O7</f>
        <v>60923.199999999997</v>
      </c>
      <c r="I6" s="488">
        <v>1</v>
      </c>
      <c r="J6" s="489">
        <f t="shared" ref="J6:J9" si="2">H6*I6</f>
        <v>60923.199999999997</v>
      </c>
      <c r="K6" s="490"/>
      <c r="L6" s="47"/>
      <c r="M6" s="377" t="s">
        <v>9</v>
      </c>
      <c r="N6" s="378">
        <f>[18]Salary!$AD$6</f>
        <v>55227.517929715519</v>
      </c>
      <c r="O6" s="378">
        <f>'Therap Day Model II'!J6</f>
        <v>60923</v>
      </c>
      <c r="P6" s="7" t="s">
        <v>292</v>
      </c>
    </row>
    <row r="7" spans="2:16">
      <c r="B7" s="495" t="s">
        <v>291</v>
      </c>
      <c r="C7" s="494">
        <f>O9</f>
        <v>32198.400000000001</v>
      </c>
      <c r="D7" s="488">
        <v>0.75</v>
      </c>
      <c r="E7" s="489">
        <f t="shared" si="1"/>
        <v>24148.800000000003</v>
      </c>
      <c r="F7" s="47"/>
      <c r="G7" s="495" t="s">
        <v>291</v>
      </c>
      <c r="H7" s="494">
        <f>O9</f>
        <v>32198.400000000001</v>
      </c>
      <c r="I7" s="488">
        <v>1.75</v>
      </c>
      <c r="J7" s="489">
        <f t="shared" si="2"/>
        <v>56347.200000000004</v>
      </c>
      <c r="K7" s="490"/>
      <c r="L7" s="47"/>
      <c r="M7" s="377" t="s">
        <v>304</v>
      </c>
      <c r="N7" s="378">
        <f>[18]Salary!$AD$17</f>
        <v>43178.164933135224</v>
      </c>
      <c r="O7" s="378">
        <f>[18]Chart!C16</f>
        <v>60923.199999999997</v>
      </c>
      <c r="P7" s="7" t="s">
        <v>12</v>
      </c>
    </row>
    <row r="8" spans="2:16">
      <c r="B8" s="493" t="str">
        <f>G8</f>
        <v>Direct Care III</v>
      </c>
      <c r="C8" s="494">
        <f>H8</f>
        <v>41516.800000000003</v>
      </c>
      <c r="D8" s="488">
        <v>0.25</v>
      </c>
      <c r="E8" s="489">
        <f t="shared" si="1"/>
        <v>10379.200000000001</v>
      </c>
      <c r="F8" s="47"/>
      <c r="G8" s="493" t="str">
        <f>M8</f>
        <v>Direct Care III</v>
      </c>
      <c r="H8" s="494">
        <f>O8</f>
        <v>41516.800000000003</v>
      </c>
      <c r="I8" s="488">
        <v>0.75</v>
      </c>
      <c r="J8" s="489">
        <f t="shared" si="2"/>
        <v>31137.600000000002</v>
      </c>
      <c r="K8" s="490"/>
      <c r="L8" s="47"/>
      <c r="M8" s="377" t="str">
        <f>'Therap Day Model II'!H8</f>
        <v>Direct Care III</v>
      </c>
      <c r="N8" s="378"/>
      <c r="O8" s="378">
        <f>[18]Chart!C8</f>
        <v>41516.800000000003</v>
      </c>
      <c r="P8" s="7" t="s">
        <v>12</v>
      </c>
    </row>
    <row r="9" spans="2:16">
      <c r="B9" s="496" t="s">
        <v>14</v>
      </c>
      <c r="C9" s="497">
        <f t="shared" si="0"/>
        <v>32198.400000000001</v>
      </c>
      <c r="D9" s="498">
        <v>0.2</v>
      </c>
      <c r="E9" s="499">
        <f t="shared" si="1"/>
        <v>6439.68</v>
      </c>
      <c r="F9" s="47"/>
      <c r="G9" s="496" t="s">
        <v>14</v>
      </c>
      <c r="H9" s="497">
        <f>O10</f>
        <v>32198.400000000001</v>
      </c>
      <c r="I9" s="498">
        <v>0.2</v>
      </c>
      <c r="J9" s="499">
        <f t="shared" si="2"/>
        <v>6439.68</v>
      </c>
      <c r="K9" s="490"/>
      <c r="L9" s="47"/>
      <c r="M9" s="377" t="s">
        <v>13</v>
      </c>
      <c r="N9" s="378">
        <f>[18]Salary!$AD$28</f>
        <v>31575.326535341828</v>
      </c>
      <c r="O9" s="378">
        <f>[18]Chart!C6</f>
        <v>32198.400000000001</v>
      </c>
      <c r="P9" s="7" t="s">
        <v>12</v>
      </c>
    </row>
    <row r="10" spans="2:16">
      <c r="B10" s="495"/>
      <c r="C10" s="494"/>
      <c r="D10" s="488"/>
      <c r="E10" s="500"/>
      <c r="F10" s="47"/>
      <c r="G10" s="495"/>
      <c r="H10" s="494"/>
      <c r="I10" s="488"/>
      <c r="J10" s="500"/>
      <c r="K10" s="501"/>
      <c r="L10" s="47"/>
      <c r="M10" s="377" t="s">
        <v>14</v>
      </c>
      <c r="N10" s="378">
        <f>[18]Salary!$AD$35</f>
        <v>31005.955465587038</v>
      </c>
      <c r="O10" s="378">
        <f>[18]Chart!C6</f>
        <v>32198.400000000001</v>
      </c>
      <c r="P10" s="7" t="s">
        <v>12</v>
      </c>
    </row>
    <row r="11" spans="2:16">
      <c r="B11" s="502" t="s">
        <v>16</v>
      </c>
      <c r="C11" s="503"/>
      <c r="D11" s="504">
        <f>SUM(D5:D9)</f>
        <v>3.2</v>
      </c>
      <c r="E11" s="505">
        <f>SUM(E5:E9)</f>
        <v>162813.88</v>
      </c>
      <c r="F11" s="47"/>
      <c r="G11" s="502" t="s">
        <v>16</v>
      </c>
      <c r="H11" s="503"/>
      <c r="I11" s="504">
        <f>SUM(I5:I9)</f>
        <v>4.7</v>
      </c>
      <c r="J11" s="505">
        <f>SUM(J5:J9)</f>
        <v>215770.68</v>
      </c>
      <c r="K11" s="494"/>
      <c r="L11" s="47"/>
      <c r="M11" s="506" t="s">
        <v>6</v>
      </c>
      <c r="N11" s="507"/>
      <c r="O11" s="507"/>
      <c r="P11" s="22"/>
    </row>
    <row r="12" spans="2:16">
      <c r="B12" s="508"/>
      <c r="C12" s="509"/>
      <c r="D12" s="509"/>
      <c r="E12" s="510"/>
      <c r="F12" s="47"/>
      <c r="G12" s="508"/>
      <c r="H12" s="509"/>
      <c r="I12" s="509"/>
      <c r="J12" s="510"/>
      <c r="K12" s="511"/>
      <c r="L12" s="47"/>
      <c r="M12" s="395" t="s">
        <v>9</v>
      </c>
      <c r="N12" s="512">
        <f>[18]Salary!$AB$8</f>
        <v>0.76054545454545452</v>
      </c>
      <c r="O12" s="396" t="s">
        <v>313</v>
      </c>
      <c r="P12" s="513" t="s">
        <v>293</v>
      </c>
    </row>
    <row r="13" spans="2:16">
      <c r="B13" s="514" t="s">
        <v>20</v>
      </c>
      <c r="C13" s="515"/>
      <c r="D13" s="516">
        <f>O17</f>
        <v>0.224</v>
      </c>
      <c r="E13" s="517">
        <f>D13*E11</f>
        <v>36470.309120000005</v>
      </c>
      <c r="F13" s="47"/>
      <c r="G13" s="514" t="s">
        <v>20</v>
      </c>
      <c r="H13" s="515"/>
      <c r="I13" s="516">
        <f>O17</f>
        <v>0.224</v>
      </c>
      <c r="J13" s="517">
        <f>J11*I13</f>
        <v>48332.632319999997</v>
      </c>
      <c r="K13" s="509"/>
      <c r="L13" s="47"/>
      <c r="M13" s="377" t="s">
        <v>305</v>
      </c>
      <c r="N13" s="512">
        <f>[18]Salary!$AB$19</f>
        <v>0.30590909090909091</v>
      </c>
      <c r="O13" s="396" t="s">
        <v>313</v>
      </c>
      <c r="P13" s="513" t="s">
        <v>293</v>
      </c>
    </row>
    <row r="14" spans="2:16">
      <c r="B14" s="508" t="s">
        <v>39</v>
      </c>
      <c r="C14" s="509"/>
      <c r="D14" s="518">
        <f>O24</f>
        <v>3.7000000000000002E-3</v>
      </c>
      <c r="E14" s="519">
        <f>E11*D14</f>
        <v>602.41135600000007</v>
      </c>
      <c r="F14" s="47"/>
      <c r="G14" s="508" t="s">
        <v>39</v>
      </c>
      <c r="H14" s="509"/>
      <c r="I14" s="518">
        <f>O24</f>
        <v>3.7000000000000002E-3</v>
      </c>
      <c r="J14" s="519">
        <f>J11*I14</f>
        <v>798.35151600000006</v>
      </c>
      <c r="K14" s="520"/>
      <c r="L14" s="47"/>
      <c r="M14" s="395" t="s">
        <v>13</v>
      </c>
      <c r="N14" s="512">
        <f>[18]Salary!$AB$30</f>
        <v>2.9420454545454549</v>
      </c>
      <c r="O14" s="396" t="s">
        <v>314</v>
      </c>
      <c r="P14" s="513" t="s">
        <v>293</v>
      </c>
    </row>
    <row r="15" spans="2:16">
      <c r="B15" s="502" t="s">
        <v>23</v>
      </c>
      <c r="C15" s="521"/>
      <c r="D15" s="521"/>
      <c r="E15" s="522">
        <f>E13+E11</f>
        <v>199284.18912</v>
      </c>
      <c r="F15" s="47"/>
      <c r="G15" s="502" t="s">
        <v>23</v>
      </c>
      <c r="H15" s="521"/>
      <c r="I15" s="521"/>
      <c r="J15" s="522">
        <f>J13+J11</f>
        <v>264103.31231999997</v>
      </c>
      <c r="K15" s="523"/>
      <c r="L15" s="47"/>
      <c r="M15" s="395" t="s">
        <v>14</v>
      </c>
      <c r="N15" s="524">
        <f>[18]Salary!$AB$37</f>
        <v>0.11227272727272729</v>
      </c>
      <c r="O15" s="396" t="s">
        <v>315</v>
      </c>
      <c r="P15" s="513" t="s">
        <v>293</v>
      </c>
    </row>
    <row r="16" spans="2:16">
      <c r="B16" s="514"/>
      <c r="C16" s="509"/>
      <c r="D16" s="509"/>
      <c r="E16" s="525"/>
      <c r="F16" s="47"/>
      <c r="G16" s="514"/>
      <c r="H16" s="509"/>
      <c r="I16" s="509"/>
      <c r="J16" s="525"/>
      <c r="K16" s="520"/>
      <c r="L16" s="47"/>
      <c r="M16" s="491" t="s">
        <v>24</v>
      </c>
      <c r="N16" s="526"/>
      <c r="O16" s="947"/>
      <c r="P16" s="22"/>
    </row>
    <row r="17" spans="2:18">
      <c r="B17" s="514" t="s">
        <v>27</v>
      </c>
      <c r="C17" s="509"/>
      <c r="D17" s="527">
        <f>O18</f>
        <v>9000</v>
      </c>
      <c r="E17" s="528">
        <f>D17*D11</f>
        <v>28800</v>
      </c>
      <c r="F17" s="47"/>
      <c r="G17" s="514" t="s">
        <v>27</v>
      </c>
      <c r="H17" s="509"/>
      <c r="I17" s="527">
        <f>O18</f>
        <v>9000</v>
      </c>
      <c r="J17" s="528">
        <f>I17*I11</f>
        <v>42300</v>
      </c>
      <c r="K17" s="529"/>
      <c r="L17" s="47"/>
      <c r="M17" s="410" t="s">
        <v>25</v>
      </c>
      <c r="N17" s="411">
        <f>[18]Pivots!$E$28+[18]Pivots!$E$29</f>
        <v>0.12813673533198905</v>
      </c>
      <c r="O17" s="411">
        <v>0.224</v>
      </c>
      <c r="P17" s="7" t="s">
        <v>26</v>
      </c>
    </row>
    <row r="18" spans="2:18">
      <c r="B18" s="514" t="s">
        <v>277</v>
      </c>
      <c r="C18" s="509"/>
      <c r="D18" s="527">
        <f>O19</f>
        <v>1607.66076</v>
      </c>
      <c r="E18" s="528">
        <f>D18*D11</f>
        <v>5144.5144319999999</v>
      </c>
      <c r="F18" s="47"/>
      <c r="G18" s="514" t="s">
        <v>277</v>
      </c>
      <c r="H18" s="509"/>
      <c r="I18" s="527">
        <f>O19</f>
        <v>1607.66076</v>
      </c>
      <c r="J18" s="528">
        <f>I18*I11</f>
        <v>7556.005572</v>
      </c>
      <c r="K18" s="530"/>
      <c r="L18" s="47"/>
      <c r="M18" s="410" t="s">
        <v>294</v>
      </c>
      <c r="N18" s="414">
        <v>7587</v>
      </c>
      <c r="O18" s="414">
        <v>9000</v>
      </c>
      <c r="P18" s="7" t="s">
        <v>295</v>
      </c>
    </row>
    <row r="19" spans="2:18">
      <c r="B19" s="410" t="s">
        <v>316</v>
      </c>
      <c r="C19" s="509"/>
      <c r="D19" s="509"/>
      <c r="E19" s="525">
        <f>O20</f>
        <v>4474.6557820000007</v>
      </c>
      <c r="F19" s="47"/>
      <c r="G19" s="410" t="s">
        <v>316</v>
      </c>
      <c r="H19" s="509"/>
      <c r="I19" s="509"/>
      <c r="J19" s="525">
        <f>O20</f>
        <v>4474.6557820000007</v>
      </c>
      <c r="K19" s="530"/>
      <c r="L19" s="47"/>
      <c r="M19" s="410" t="s">
        <v>296</v>
      </c>
      <c r="N19" s="414">
        <f>[18]Pivots!$D$32</f>
        <v>6153.4500865996679</v>
      </c>
      <c r="O19" s="414">
        <f>1500*(4.38%+1)*(2.68%+1)</f>
        <v>1607.66076</v>
      </c>
      <c r="P19" s="7" t="s">
        <v>164</v>
      </c>
    </row>
    <row r="20" spans="2:18">
      <c r="B20" s="514" t="s">
        <v>29</v>
      </c>
      <c r="C20" s="509"/>
      <c r="D20" s="531"/>
      <c r="E20" s="528">
        <f>11500*(4.38%+1)*(2.68%+1)</f>
        <v>12325.399160000001</v>
      </c>
      <c r="F20" s="47"/>
      <c r="G20" s="514" t="s">
        <v>29</v>
      </c>
      <c r="H20" s="509"/>
      <c r="I20" s="531"/>
      <c r="J20" s="528">
        <f>19366*(4.38%+1)*(2.68%+1)</f>
        <v>20755.972185440001</v>
      </c>
      <c r="K20" s="530"/>
      <c r="L20" s="47"/>
      <c r="M20" s="410" t="s">
        <v>316</v>
      </c>
      <c r="N20" s="414">
        <f>[18]Pivots!$C$37</f>
        <v>1164.5454545454545</v>
      </c>
      <c r="O20" s="948">
        <f>'Therap Day Model II'!J20</f>
        <v>4474.6557820000007</v>
      </c>
      <c r="P20" s="7" t="str">
        <f>'Therap Day Model II'!K20</f>
        <v>Benchmarked to 101 CMR 350*+ compounding CAFs</v>
      </c>
    </row>
    <row r="21" spans="2:18">
      <c r="B21" s="502" t="s">
        <v>35</v>
      </c>
      <c r="C21" s="521"/>
      <c r="D21" s="521"/>
      <c r="E21" s="532">
        <f>SUM(E15:E20)</f>
        <v>250028.75849399998</v>
      </c>
      <c r="F21" s="47"/>
      <c r="G21" s="502" t="s">
        <v>35</v>
      </c>
      <c r="H21" s="521"/>
      <c r="I21" s="521"/>
      <c r="J21" s="532">
        <f>J15+J17+J18+J16+J19+J20</f>
        <v>339189.94585943996</v>
      </c>
      <c r="K21" s="530"/>
      <c r="L21" s="47"/>
      <c r="M21" s="410" t="s">
        <v>309</v>
      </c>
      <c r="N21" s="414">
        <f>[18]Pivots!$C$45</f>
        <v>8188.59</v>
      </c>
      <c r="O21" s="948" t="s">
        <v>317</v>
      </c>
      <c r="P21" s="372" t="s">
        <v>299</v>
      </c>
      <c r="Q21" s="533"/>
    </row>
    <row r="22" spans="2:18" ht="15" thickBot="1">
      <c r="B22" s="534" t="s">
        <v>38</v>
      </c>
      <c r="C22" s="37"/>
      <c r="D22" s="37">
        <f>O22</f>
        <v>0.12</v>
      </c>
      <c r="E22" s="535">
        <f>E21*D22</f>
        <v>30003.451019279997</v>
      </c>
      <c r="F22" s="47"/>
      <c r="G22" s="534" t="s">
        <v>38</v>
      </c>
      <c r="H22" s="37"/>
      <c r="I22" s="37">
        <f>O22</f>
        <v>0.12</v>
      </c>
      <c r="J22" s="535">
        <f>J21*I22</f>
        <v>40702.793503132794</v>
      </c>
      <c r="K22" s="523"/>
      <c r="L22" s="47"/>
      <c r="M22" s="410" t="s">
        <v>33</v>
      </c>
      <c r="N22" s="421">
        <f>[18]Pivots!$E$27</f>
        <v>0.10213346631589997</v>
      </c>
      <c r="O22" s="421">
        <v>0.12</v>
      </c>
      <c r="P22" s="7" t="str">
        <f>'Therap Day Model II'!K22</f>
        <v>MA EOHHS C.257 Benchmark</v>
      </c>
      <c r="Q22" s="536"/>
      <c r="R22" s="533"/>
    </row>
    <row r="23" spans="2:18" ht="15.6" thickTop="1" thickBot="1">
      <c r="B23" s="537" t="s">
        <v>302</v>
      </c>
      <c r="C23" s="11"/>
      <c r="D23" s="11"/>
      <c r="E23" s="538">
        <f>E21+E22</f>
        <v>280032.20951327996</v>
      </c>
      <c r="G23" s="537" t="s">
        <v>41</v>
      </c>
      <c r="H23" s="11"/>
      <c r="I23" s="11"/>
      <c r="J23" s="538">
        <f>J21+J22</f>
        <v>379892.73936257279</v>
      </c>
      <c r="K23" s="27"/>
      <c r="M23" s="34" t="s">
        <v>181</v>
      </c>
      <c r="N23" s="35" t="s">
        <v>300</v>
      </c>
      <c r="O23" s="949">
        <f>'[18]CAF Fall 2020'!CA25</f>
        <v>1.9959404600811814E-2</v>
      </c>
      <c r="P23" s="34" t="s">
        <v>301</v>
      </c>
      <c r="Q23" s="536"/>
      <c r="R23" s="536"/>
    </row>
    <row r="24" spans="2:18" ht="15" thickBot="1">
      <c r="B24" s="537" t="s">
        <v>181</v>
      </c>
      <c r="C24" s="11"/>
      <c r="D24" s="539">
        <f>O23</f>
        <v>1.9959404600811814E-2</v>
      </c>
      <c r="E24" s="538">
        <f>(E23-E11)*D24</f>
        <v>2339.6080653868353</v>
      </c>
      <c r="G24" s="34" t="s">
        <v>181</v>
      </c>
      <c r="H24" s="540"/>
      <c r="I24" s="541">
        <f>O23</f>
        <v>1.9959404600811814E-2</v>
      </c>
      <c r="J24" s="542">
        <f>(J23-J11)*I24</f>
        <v>3275.7785867360449</v>
      </c>
      <c r="K24" s="27"/>
      <c r="M24" s="468" t="str">
        <f>'[18]Model II'!H24</f>
        <v>PFMLA Trust Contribution</v>
      </c>
      <c r="N24" s="432"/>
      <c r="O24" s="946">
        <v>3.7000000000000002E-3</v>
      </c>
      <c r="P24" s="469" t="str">
        <f>'[18]Model II'!K24</f>
        <v>Effective 7/1/19</v>
      </c>
      <c r="R24" s="536"/>
    </row>
    <row r="25" spans="2:18" ht="15" thickBot="1">
      <c r="B25" s="543" t="str">
        <f>'[18]Model II'!B39</f>
        <v>Total Annual Amount</v>
      </c>
      <c r="C25" s="35"/>
      <c r="D25" s="35"/>
      <c r="E25" s="544">
        <f>E23+E24</f>
        <v>282371.81757866679</v>
      </c>
      <c r="G25" s="543" t="str">
        <f>B25</f>
        <v>Total Annual Amount</v>
      </c>
      <c r="H25" s="35"/>
      <c r="I25" s="545"/>
      <c r="J25" s="546">
        <f>J23+J24</f>
        <v>383168.51794930885</v>
      </c>
      <c r="K25" s="547"/>
      <c r="O25" s="950"/>
      <c r="R25" s="536"/>
    </row>
    <row r="26" spans="2:18" ht="15" thickBot="1">
      <c r="B26" s="548" t="s">
        <v>43</v>
      </c>
      <c r="C26" s="35"/>
      <c r="D26" s="35"/>
      <c r="E26" s="549">
        <f>E25/12</f>
        <v>23530.984798222231</v>
      </c>
      <c r="G26" s="548" t="str">
        <f>B26</f>
        <v>Total Monthly Rate</v>
      </c>
      <c r="H26" s="35"/>
      <c r="I26" s="35"/>
      <c r="J26" s="549">
        <f>J25/12</f>
        <v>31930.70982910907</v>
      </c>
      <c r="K26" s="11"/>
    </row>
    <row r="27" spans="2:18">
      <c r="D27" s="550"/>
      <c r="E27" s="551"/>
      <c r="I27" s="550"/>
      <c r="J27" s="551"/>
      <c r="K27" s="552"/>
    </row>
    <row r="28" spans="2:18" ht="15" hidden="1" thickBot="1">
      <c r="C28" s="553"/>
      <c r="G28" s="554"/>
      <c r="H28" s="2"/>
      <c r="I28" s="2"/>
      <c r="J28" s="555"/>
      <c r="K28" s="553"/>
    </row>
    <row r="29" spans="2:18" hidden="1">
      <c r="G29" s="1"/>
      <c r="H29" s="12"/>
      <c r="I29" s="483"/>
      <c r="J29" s="484"/>
      <c r="K29" s="553"/>
    </row>
    <row r="30" spans="2:18" hidden="1">
      <c r="G30" s="556"/>
      <c r="H30" s="13"/>
      <c r="I30" s="19"/>
      <c r="J30" s="557"/>
      <c r="K30" s="553"/>
    </row>
    <row r="31" spans="2:18" hidden="1">
      <c r="B31" s="558"/>
      <c r="C31" s="558"/>
      <c r="D31" s="558"/>
      <c r="G31" s="559"/>
      <c r="H31" s="18"/>
      <c r="I31" s="19"/>
      <c r="J31" s="557"/>
    </row>
    <row r="32" spans="2:18" hidden="1">
      <c r="G32" s="559"/>
      <c r="H32" s="18"/>
      <c r="I32" s="19"/>
      <c r="J32" s="557"/>
    </row>
    <row r="33" spans="7:10" ht="15.75" hidden="1" customHeight="1">
      <c r="G33" s="560"/>
      <c r="H33" s="20"/>
      <c r="I33" s="21"/>
      <c r="J33" s="561"/>
    </row>
    <row r="34" spans="7:10" hidden="1">
      <c r="G34" s="537"/>
      <c r="H34" s="18"/>
      <c r="I34" s="562"/>
      <c r="J34" s="563"/>
    </row>
    <row r="35" spans="7:10" hidden="1">
      <c r="G35" s="559"/>
      <c r="H35" s="18"/>
      <c r="I35" s="19"/>
      <c r="J35" s="564"/>
    </row>
    <row r="36" spans="7:10" hidden="1">
      <c r="G36" s="565"/>
      <c r="H36" s="23"/>
      <c r="I36" s="24"/>
      <c r="J36" s="566"/>
    </row>
    <row r="37" spans="7:10" hidden="1">
      <c r="G37" s="6"/>
      <c r="H37" s="11"/>
      <c r="I37" s="11"/>
      <c r="J37" s="7"/>
    </row>
    <row r="38" spans="7:10" hidden="1">
      <c r="G38" s="537"/>
      <c r="H38" s="567"/>
      <c r="I38" s="539"/>
      <c r="J38" s="568"/>
    </row>
    <row r="39" spans="7:10" hidden="1">
      <c r="G39" s="6"/>
      <c r="H39" s="11"/>
      <c r="I39" s="11"/>
      <c r="J39" s="569"/>
    </row>
    <row r="40" spans="7:10" hidden="1">
      <c r="G40" s="565"/>
      <c r="H40" s="28"/>
      <c r="I40" s="28"/>
      <c r="J40" s="570"/>
    </row>
    <row r="41" spans="7:10" hidden="1">
      <c r="G41" s="537"/>
      <c r="H41" s="11"/>
      <c r="I41" s="11"/>
      <c r="J41" s="571"/>
    </row>
    <row r="42" spans="7:10" hidden="1">
      <c r="G42" s="537"/>
      <c r="H42" s="11"/>
      <c r="I42" s="572"/>
      <c r="J42" s="573"/>
    </row>
    <row r="43" spans="7:10" hidden="1">
      <c r="G43" s="537"/>
      <c r="H43" s="11"/>
      <c r="I43" s="572"/>
      <c r="J43" s="573"/>
    </row>
    <row r="44" spans="7:10" hidden="1">
      <c r="G44" s="537"/>
      <c r="H44" s="11"/>
      <c r="I44" s="11"/>
      <c r="J44" s="571"/>
    </row>
    <row r="45" spans="7:10" hidden="1">
      <c r="G45" s="537"/>
      <c r="H45" s="11"/>
      <c r="I45" s="572"/>
      <c r="J45" s="573"/>
    </row>
    <row r="46" spans="7:10" hidden="1">
      <c r="G46" s="565"/>
      <c r="H46" s="28"/>
      <c r="I46" s="28"/>
      <c r="J46" s="574"/>
    </row>
    <row r="47" spans="7:10" hidden="1">
      <c r="G47" s="575"/>
      <c r="H47" s="576"/>
      <c r="I47" s="576"/>
      <c r="J47" s="577"/>
    </row>
    <row r="48" spans="7:10" hidden="1">
      <c r="G48" s="578"/>
      <c r="H48" s="579"/>
      <c r="I48" s="579"/>
      <c r="J48" s="577"/>
    </row>
    <row r="49" spans="7:10" hidden="1">
      <c r="G49" s="580"/>
      <c r="H49" s="11"/>
      <c r="I49" s="11"/>
      <c r="J49" s="581"/>
    </row>
    <row r="50" spans="7:10" ht="15" hidden="1" thickBot="1">
      <c r="G50" s="582"/>
      <c r="H50" s="583"/>
      <c r="I50" s="584"/>
      <c r="J50" s="36"/>
    </row>
    <row r="51" spans="7:10" ht="15" hidden="1" thickBot="1">
      <c r="G51" s="585"/>
      <c r="H51" s="586"/>
      <c r="I51" s="586"/>
      <c r="J51" s="587"/>
    </row>
    <row r="52" spans="7:10" hidden="1">
      <c r="G52" s="588"/>
      <c r="H52" s="17"/>
      <c r="I52" s="589"/>
      <c r="J52" s="589"/>
    </row>
    <row r="53" spans="7:10" hidden="1">
      <c r="G53" s="590"/>
      <c r="H53" s="17"/>
      <c r="I53" s="591"/>
      <c r="J53" s="591"/>
    </row>
    <row r="54" spans="7:10" hidden="1">
      <c r="G54" s="590"/>
      <c r="I54" s="592"/>
      <c r="J54" s="592"/>
    </row>
    <row r="55" spans="7:10" hidden="1">
      <c r="G55" s="593"/>
      <c r="I55" s="592"/>
      <c r="J55" s="592"/>
    </row>
    <row r="56" spans="7:10" hidden="1"/>
    <row r="57" spans="7:10" ht="15" hidden="1" thickBot="1">
      <c r="G57" s="554"/>
      <c r="H57" s="2"/>
      <c r="I57" s="2"/>
      <c r="J57" s="555"/>
    </row>
    <row r="58" spans="7:10" hidden="1">
      <c r="G58" s="1"/>
      <c r="H58" s="12"/>
      <c r="I58" s="483"/>
      <c r="J58" s="484"/>
    </row>
    <row r="59" spans="7:10" hidden="1">
      <c r="G59" s="556"/>
      <c r="H59" s="13"/>
      <c r="I59" s="14"/>
      <c r="J59" s="557"/>
    </row>
    <row r="60" spans="7:10" hidden="1">
      <c r="G60" s="559"/>
      <c r="H60" s="18"/>
      <c r="I60" s="19"/>
      <c r="J60" s="557"/>
    </row>
    <row r="61" spans="7:10" hidden="1">
      <c r="G61" s="559"/>
      <c r="H61" s="18"/>
      <c r="I61" s="19"/>
      <c r="J61" s="557"/>
    </row>
    <row r="62" spans="7:10" ht="15.75" hidden="1" customHeight="1">
      <c r="G62" s="560"/>
      <c r="H62" s="20"/>
      <c r="I62" s="21"/>
      <c r="J62" s="561"/>
    </row>
    <row r="63" spans="7:10" hidden="1">
      <c r="G63" s="537"/>
      <c r="H63" s="18"/>
      <c r="I63" s="562"/>
      <c r="J63" s="563"/>
    </row>
    <row r="64" spans="7:10" hidden="1">
      <c r="G64" s="559"/>
      <c r="H64" s="18"/>
      <c r="I64" s="19"/>
      <c r="J64" s="564"/>
    </row>
    <row r="65" spans="7:10" hidden="1">
      <c r="G65" s="565"/>
      <c r="H65" s="23"/>
      <c r="I65" s="24"/>
      <c r="J65" s="566"/>
    </row>
    <row r="66" spans="7:10" hidden="1">
      <c r="G66" s="6"/>
      <c r="H66" s="11"/>
      <c r="I66" s="11"/>
      <c r="J66" s="7"/>
    </row>
    <row r="67" spans="7:10" hidden="1">
      <c r="G67" s="537"/>
      <c r="H67" s="567"/>
      <c r="I67" s="539"/>
      <c r="J67" s="568"/>
    </row>
    <row r="68" spans="7:10" hidden="1">
      <c r="G68" s="6"/>
      <c r="H68" s="11"/>
      <c r="I68" s="11"/>
      <c r="J68" s="569"/>
    </row>
    <row r="69" spans="7:10" hidden="1">
      <c r="G69" s="565"/>
      <c r="H69" s="28"/>
      <c r="I69" s="28"/>
      <c r="J69" s="570"/>
    </row>
    <row r="70" spans="7:10" hidden="1">
      <c r="G70" s="537"/>
      <c r="H70" s="11"/>
      <c r="I70" s="11"/>
      <c r="J70" s="571"/>
    </row>
    <row r="71" spans="7:10" hidden="1">
      <c r="G71" s="537"/>
      <c r="H71" s="11"/>
      <c r="I71" s="572"/>
      <c r="J71" s="573"/>
    </row>
    <row r="72" spans="7:10" hidden="1">
      <c r="G72" s="537"/>
      <c r="H72" s="11"/>
      <c r="I72" s="572"/>
      <c r="J72" s="573"/>
    </row>
    <row r="73" spans="7:10" hidden="1">
      <c r="G73" s="537"/>
      <c r="H73" s="11"/>
      <c r="I73" s="11"/>
      <c r="J73" s="571"/>
    </row>
    <row r="74" spans="7:10" hidden="1">
      <c r="G74" s="537"/>
      <c r="H74" s="11"/>
      <c r="I74" s="572"/>
      <c r="J74" s="573"/>
    </row>
    <row r="75" spans="7:10" hidden="1">
      <c r="G75" s="565"/>
      <c r="H75" s="28"/>
      <c r="I75" s="28"/>
      <c r="J75" s="574"/>
    </row>
    <row r="76" spans="7:10" hidden="1">
      <c r="G76" s="575"/>
      <c r="H76" s="576"/>
      <c r="I76" s="576"/>
      <c r="J76" s="577"/>
    </row>
    <row r="77" spans="7:10" hidden="1">
      <c r="G77" s="578"/>
      <c r="H77" s="579"/>
      <c r="I77" s="579"/>
      <c r="J77" s="577"/>
    </row>
    <row r="78" spans="7:10" hidden="1">
      <c r="G78" s="580"/>
      <c r="H78" s="11"/>
      <c r="I78" s="11"/>
      <c r="J78" s="581"/>
    </row>
    <row r="79" spans="7:10" ht="15" hidden="1" thickBot="1">
      <c r="G79" s="582"/>
      <c r="H79" s="583"/>
      <c r="I79" s="584"/>
      <c r="J79" s="36"/>
    </row>
    <row r="80" spans="7:10" ht="15" hidden="1" thickBot="1">
      <c r="G80" s="585"/>
      <c r="H80" s="586"/>
      <c r="I80" s="586"/>
      <c r="J80" s="587"/>
    </row>
    <row r="81" spans="2:10" hidden="1">
      <c r="G81" s="588"/>
      <c r="H81" s="17"/>
      <c r="I81" s="589"/>
      <c r="J81" s="589"/>
    </row>
    <row r="82" spans="2:10" hidden="1">
      <c r="G82" s="590"/>
      <c r="H82" s="17"/>
      <c r="I82" s="591"/>
      <c r="J82" s="591"/>
    </row>
    <row r="83" spans="2:10" hidden="1">
      <c r="I83" s="592"/>
      <c r="J83" s="592"/>
    </row>
    <row r="84" spans="2:10" hidden="1">
      <c r="I84" s="592"/>
      <c r="J84" s="592"/>
    </row>
    <row r="85" spans="2:10" hidden="1"/>
    <row r="86" spans="2:10" ht="15" hidden="1" customHeight="1"/>
    <row r="87" spans="2:10" ht="25.5" hidden="1" customHeight="1"/>
    <row r="88" spans="2:10" hidden="1"/>
    <row r="89" spans="2:10" hidden="1"/>
    <row r="90" spans="2:10" hidden="1"/>
    <row r="92" spans="2:10">
      <c r="F92" s="594"/>
    </row>
    <row r="95" spans="2:10" ht="18" hidden="1">
      <c r="B95" s="595" t="s">
        <v>184</v>
      </c>
      <c r="C95" s="596"/>
      <c r="D95" s="596"/>
      <c r="E95" s="11"/>
      <c r="G95" s="595"/>
      <c r="H95" s="596"/>
      <c r="I95" s="596"/>
      <c r="J95" s="11"/>
    </row>
    <row r="96" spans="2:10" ht="15.6" hidden="1">
      <c r="B96" s="474" t="s">
        <v>318</v>
      </c>
      <c r="C96" s="597"/>
      <c r="D96" s="597" t="s">
        <v>185</v>
      </c>
      <c r="E96" s="247" t="s">
        <v>186</v>
      </c>
      <c r="G96" s="474"/>
      <c r="H96" s="597"/>
      <c r="I96" s="597"/>
      <c r="J96" s="247"/>
    </row>
    <row r="97" spans="2:10" ht="15.6" hidden="1">
      <c r="B97" s="181" t="str">
        <f>B5</f>
        <v>Management</v>
      </c>
      <c r="C97" s="181"/>
      <c r="D97" s="598">
        <v>55228</v>
      </c>
      <c r="E97" s="598">
        <v>59192</v>
      </c>
      <c r="G97" s="181"/>
      <c r="H97" s="181"/>
      <c r="I97" s="598"/>
      <c r="J97" s="598"/>
    </row>
    <row r="98" spans="2:10" ht="15.6" hidden="1">
      <c r="B98" s="599" t="s">
        <v>305</v>
      </c>
      <c r="C98" s="181"/>
      <c r="D98" s="598">
        <v>54000</v>
      </c>
      <c r="E98" s="598">
        <v>60923</v>
      </c>
      <c r="G98" s="599"/>
      <c r="H98" s="181"/>
      <c r="I98" s="598"/>
      <c r="J98" s="598"/>
    </row>
    <row r="99" spans="2:10" ht="15.6" hidden="1">
      <c r="B99" s="599" t="s">
        <v>291</v>
      </c>
      <c r="C99" s="181"/>
      <c r="D99" s="598">
        <v>32000</v>
      </c>
      <c r="E99" s="598">
        <v>32198</v>
      </c>
      <c r="G99" s="599"/>
      <c r="H99" s="181"/>
      <c r="I99" s="598"/>
      <c r="J99" s="598"/>
    </row>
    <row r="100" spans="2:10" ht="15.6" hidden="1">
      <c r="B100" s="599" t="s">
        <v>14</v>
      </c>
      <c r="C100" s="181"/>
      <c r="D100" s="598">
        <v>31006</v>
      </c>
      <c r="E100" s="598">
        <v>32198</v>
      </c>
      <c r="G100" s="599"/>
      <c r="H100" s="181"/>
      <c r="I100" s="598"/>
      <c r="J100" s="598"/>
    </row>
    <row r="101" spans="2:10" ht="15.6" hidden="1">
      <c r="B101" s="599" t="str">
        <f>B13</f>
        <v>Taxes and Fringe</v>
      </c>
      <c r="C101" s="181"/>
      <c r="D101" s="346">
        <v>0.21709999999999999</v>
      </c>
      <c r="E101" s="346">
        <v>0.224</v>
      </c>
      <c r="G101" s="599"/>
      <c r="H101" s="181"/>
      <c r="I101" s="346"/>
      <c r="J101" s="346"/>
    </row>
    <row r="102" spans="2:10" ht="15.6" hidden="1">
      <c r="B102" s="599" t="str">
        <f>B14</f>
        <v>PFMLA Trust Contribution</v>
      </c>
      <c r="C102" s="181"/>
      <c r="D102" s="346">
        <v>6.3E-3</v>
      </c>
      <c r="E102" s="346">
        <v>3.7000000000000002E-3</v>
      </c>
      <c r="F102" s="600"/>
      <c r="G102" s="599"/>
      <c r="H102" s="221"/>
      <c r="I102" s="601"/>
      <c r="J102" s="346"/>
    </row>
    <row r="103" spans="2:10" ht="15.6" hidden="1">
      <c r="B103" s="344" t="s">
        <v>27</v>
      </c>
      <c r="C103" s="181"/>
      <c r="D103" s="602">
        <v>7590</v>
      </c>
      <c r="E103" s="602">
        <v>8135</v>
      </c>
      <c r="F103" s="600"/>
      <c r="G103" s="603"/>
      <c r="H103" s="221"/>
      <c r="I103" s="602"/>
      <c r="J103" s="602"/>
    </row>
    <row r="104" spans="2:10" ht="15.6" hidden="1">
      <c r="B104" s="344" t="s">
        <v>277</v>
      </c>
      <c r="C104" s="181"/>
      <c r="D104" s="602">
        <v>1500</v>
      </c>
      <c r="E104" s="602">
        <v>1608</v>
      </c>
      <c r="F104" s="600"/>
      <c r="G104" s="603"/>
      <c r="H104" s="221"/>
      <c r="I104" s="602"/>
      <c r="J104" s="602"/>
    </row>
    <row r="105" spans="2:10" ht="15.6" hidden="1">
      <c r="B105" s="604" t="s">
        <v>306</v>
      </c>
      <c r="C105" s="181"/>
      <c r="D105" s="605">
        <v>4175</v>
      </c>
      <c r="E105" s="606">
        <v>4475</v>
      </c>
      <c r="F105" s="600"/>
      <c r="G105" s="607"/>
      <c r="H105" s="221"/>
      <c r="I105" s="602"/>
      <c r="J105" s="606"/>
    </row>
    <row r="106" spans="2:10" ht="15.6" hidden="1">
      <c r="B106" s="344" t="s">
        <v>29</v>
      </c>
      <c r="C106" s="181"/>
      <c r="D106" s="608">
        <v>11500</v>
      </c>
      <c r="E106" s="606">
        <v>12325</v>
      </c>
      <c r="F106" s="600"/>
      <c r="G106" s="603"/>
      <c r="H106" s="221"/>
      <c r="I106" s="609"/>
      <c r="J106" s="606"/>
    </row>
    <row r="107" spans="2:10" ht="15.6" hidden="1">
      <c r="B107" s="181" t="str">
        <f>B22</f>
        <v>Admin. Alloc. (M&amp;G)</v>
      </c>
      <c r="C107" s="181"/>
      <c r="D107" s="346">
        <v>0.1062</v>
      </c>
      <c r="E107" s="346">
        <v>0.12</v>
      </c>
      <c r="F107" s="600"/>
      <c r="G107" s="221"/>
      <c r="H107" s="221"/>
      <c r="I107" s="601"/>
      <c r="J107" s="346"/>
    </row>
    <row r="108" spans="2:10" ht="15" hidden="1" thickBot="1">
      <c r="B108" s="610" t="s">
        <v>300</v>
      </c>
      <c r="E108" s="611">
        <v>2.5000000000000001E-2</v>
      </c>
      <c r="F108" s="600"/>
      <c r="G108" s="612"/>
      <c r="H108" s="600"/>
      <c r="I108" s="600"/>
      <c r="J108" s="611"/>
    </row>
    <row r="109" spans="2:10" hidden="1"/>
    <row r="110" spans="2:10" hidden="1"/>
  </sheetData>
  <mergeCells count="18">
    <mergeCell ref="G57:J57"/>
    <mergeCell ref="G81:G82"/>
    <mergeCell ref="I81:J81"/>
    <mergeCell ref="I82:J82"/>
    <mergeCell ref="I83:J83"/>
    <mergeCell ref="I84:J84"/>
    <mergeCell ref="B31:D31"/>
    <mergeCell ref="G52:G54"/>
    <mergeCell ref="I52:J52"/>
    <mergeCell ref="I53:J53"/>
    <mergeCell ref="I54:J54"/>
    <mergeCell ref="I55:J55"/>
    <mergeCell ref="B1:E1"/>
    <mergeCell ref="G1:J1"/>
    <mergeCell ref="B3:E3"/>
    <mergeCell ref="G3:J3"/>
    <mergeCell ref="M3:P3"/>
    <mergeCell ref="G28:J28"/>
  </mergeCells>
  <pageMargins left="0.25" right="0" top="0.75" bottom="0.75" header="0.3" footer="0.3"/>
  <pageSetup scale="49" orientation="landscape" r:id="rId1"/>
  <ignoredErrors>
    <ignoredError sqref="E24 J2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showGridLines="0" zoomScale="80" zoomScaleNormal="80" workbookViewId="0">
      <selection activeCell="H29" sqref="H29"/>
    </sheetView>
  </sheetViews>
  <sheetFormatPr defaultColWidth="8.88671875" defaultRowHeight="14.4"/>
  <cols>
    <col min="1" max="1" width="1.6640625" customWidth="1"/>
    <col min="2" max="2" width="30.44140625" customWidth="1"/>
    <col min="3" max="3" width="10.88671875" bestFit="1" customWidth="1"/>
    <col min="4" max="4" width="14.44140625" customWidth="1"/>
    <col min="5" max="5" width="16.88671875" bestFit="1" customWidth="1"/>
    <col min="6" max="6" width="6.44140625" style="600" customWidth="1"/>
    <col min="7" max="7" width="30.44140625" customWidth="1"/>
    <col min="8" max="8" width="10.88671875" bestFit="1" customWidth="1"/>
    <col min="9" max="9" width="14.44140625" customWidth="1"/>
    <col min="10" max="10" width="16.88671875" bestFit="1" customWidth="1"/>
    <col min="11" max="11" width="1.6640625" customWidth="1"/>
    <col min="12" max="12" width="2" customWidth="1"/>
    <col min="13" max="13" width="35.33203125" bestFit="1" customWidth="1"/>
    <col min="14" max="14" width="13.33203125" hidden="1" customWidth="1"/>
    <col min="15" max="15" width="18.6640625" style="950" bestFit="1" customWidth="1"/>
    <col min="16" max="16" width="55.88671875" customWidth="1"/>
  </cols>
  <sheetData>
    <row r="1" spans="2:16" ht="15" thickBot="1">
      <c r="B1" s="477"/>
      <c r="C1" s="477"/>
      <c r="D1" s="477"/>
      <c r="E1" s="477"/>
      <c r="G1" s="477"/>
      <c r="H1" s="477"/>
      <c r="I1" s="477"/>
      <c r="J1" s="477"/>
    </row>
    <row r="2" spans="2:16" ht="15" thickBot="1">
      <c r="B2" s="479" t="s">
        <v>319</v>
      </c>
      <c r="C2" s="480"/>
      <c r="D2" s="480"/>
      <c r="E2" s="481"/>
      <c r="F2" s="482"/>
      <c r="G2" s="479" t="s">
        <v>320</v>
      </c>
      <c r="H2" s="480"/>
      <c r="I2" s="480"/>
      <c r="J2" s="481"/>
      <c r="K2" s="482"/>
      <c r="M2" s="3" t="s">
        <v>0</v>
      </c>
      <c r="N2" s="4"/>
      <c r="O2" s="4"/>
      <c r="P2" s="5"/>
    </row>
    <row r="3" spans="2:16">
      <c r="B3" s="613"/>
      <c r="C3" s="614" t="s">
        <v>5</v>
      </c>
      <c r="D3" s="614" t="s">
        <v>6</v>
      </c>
      <c r="E3" s="615" t="s">
        <v>7</v>
      </c>
      <c r="F3" s="485"/>
      <c r="G3" s="1"/>
      <c r="H3" s="12" t="s">
        <v>5</v>
      </c>
      <c r="I3" s="483" t="s">
        <v>6</v>
      </c>
      <c r="J3" s="484" t="s">
        <v>7</v>
      </c>
      <c r="K3" s="485"/>
      <c r="M3" s="8"/>
      <c r="N3" s="9" t="s">
        <v>290</v>
      </c>
      <c r="O3" s="951" t="s">
        <v>3</v>
      </c>
      <c r="P3" s="10" t="s">
        <v>4</v>
      </c>
    </row>
    <row r="4" spans="2:16">
      <c r="B4" s="486" t="s">
        <v>9</v>
      </c>
      <c r="C4" s="487">
        <f>O5</f>
        <v>60923</v>
      </c>
      <c r="D4" s="616">
        <v>0.5</v>
      </c>
      <c r="E4" s="617">
        <f>C4*D4</f>
        <v>30461.5</v>
      </c>
      <c r="F4" s="618"/>
      <c r="G4" s="556" t="s">
        <v>9</v>
      </c>
      <c r="H4" s="487">
        <f>O5</f>
        <v>60923</v>
      </c>
      <c r="I4" s="488">
        <v>1</v>
      </c>
      <c r="J4" s="489">
        <f>H4*I4</f>
        <v>60923</v>
      </c>
      <c r="K4" s="490"/>
      <c r="L4" s="47"/>
      <c r="M4" s="491" t="s">
        <v>8</v>
      </c>
      <c r="N4" s="492"/>
      <c r="O4" s="952"/>
      <c r="P4" s="7"/>
    </row>
    <row r="5" spans="2:16">
      <c r="B5" s="493" t="str">
        <f>M7</f>
        <v>Clinical (LICSW)</v>
      </c>
      <c r="C5" s="494">
        <f>O7</f>
        <v>60923.199999999997</v>
      </c>
      <c r="D5" s="488">
        <v>0.75</v>
      </c>
      <c r="E5" s="489">
        <f t="shared" ref="E5:E8" si="0">C5*D5</f>
        <v>45692.399999999994</v>
      </c>
      <c r="F5" s="618"/>
      <c r="G5" s="619" t="str">
        <f>M7</f>
        <v>Clinical (LICSW)</v>
      </c>
      <c r="H5" s="494">
        <f>O7</f>
        <v>60923.199999999997</v>
      </c>
      <c r="I5" s="488">
        <v>2</v>
      </c>
      <c r="J5" s="489">
        <f t="shared" ref="J5:J8" si="1">H5*I5</f>
        <v>121846.39999999999</v>
      </c>
      <c r="K5" s="490"/>
      <c r="L5" s="47"/>
      <c r="M5" s="377" t="s">
        <v>9</v>
      </c>
      <c r="N5" s="378">
        <f>[18]Salary!$AD$6</f>
        <v>55227.517929715519</v>
      </c>
      <c r="O5" s="378">
        <f>'Therap Day Model III'!O6</f>
        <v>60923</v>
      </c>
      <c r="P5" s="7" t="s">
        <v>292</v>
      </c>
    </row>
    <row r="6" spans="2:16">
      <c r="B6" s="493" t="str">
        <f>M6</f>
        <v>Direct Care III</v>
      </c>
      <c r="C6" s="494">
        <f>O6</f>
        <v>41516.800000000003</v>
      </c>
      <c r="D6" s="488">
        <v>0.5</v>
      </c>
      <c r="E6" s="489">
        <f t="shared" si="0"/>
        <v>20758.400000000001</v>
      </c>
      <c r="F6" s="618"/>
      <c r="G6" s="619" t="str">
        <f>M6</f>
        <v>Direct Care III</v>
      </c>
      <c r="H6" s="494">
        <f>O6</f>
        <v>41516.800000000003</v>
      </c>
      <c r="I6" s="488">
        <v>0.5</v>
      </c>
      <c r="J6" s="489">
        <f t="shared" si="1"/>
        <v>20758.400000000001</v>
      </c>
      <c r="K6" s="490"/>
      <c r="L6" s="47"/>
      <c r="M6" s="377" t="str">
        <f>'[18]Model I Budget'!H7</f>
        <v>Direct Care III</v>
      </c>
      <c r="N6" s="378"/>
      <c r="O6" s="378">
        <f>[18]Chart!C8</f>
        <v>41516.800000000003</v>
      </c>
      <c r="P6" s="7" t="s">
        <v>12</v>
      </c>
    </row>
    <row r="7" spans="2:16">
      <c r="B7" s="495" t="s">
        <v>291</v>
      </c>
      <c r="C7" s="494">
        <f>O8</f>
        <v>32198.400000000001</v>
      </c>
      <c r="D7" s="488">
        <v>0.5</v>
      </c>
      <c r="E7" s="489">
        <f t="shared" si="0"/>
        <v>16099.2</v>
      </c>
      <c r="F7" s="618"/>
      <c r="G7" s="559" t="s">
        <v>291</v>
      </c>
      <c r="H7" s="494">
        <f>O8</f>
        <v>32198.400000000001</v>
      </c>
      <c r="I7" s="488">
        <v>0.25</v>
      </c>
      <c r="J7" s="489">
        <f t="shared" si="1"/>
        <v>8049.6</v>
      </c>
      <c r="K7" s="490"/>
      <c r="L7" s="47"/>
      <c r="M7" s="377" t="s">
        <v>304</v>
      </c>
      <c r="N7" s="378">
        <f>[18]Salary!$AD$17</f>
        <v>43178.164933135224</v>
      </c>
      <c r="O7" s="378">
        <f>[18]Chart!C16</f>
        <v>60923.199999999997</v>
      </c>
      <c r="P7" s="7" t="s">
        <v>12</v>
      </c>
    </row>
    <row r="8" spans="2:16">
      <c r="B8" s="496" t="s">
        <v>14</v>
      </c>
      <c r="C8" s="497">
        <f>O9</f>
        <v>32198.400000000001</v>
      </c>
      <c r="D8" s="498">
        <v>0.2</v>
      </c>
      <c r="E8" s="499">
        <f t="shared" si="0"/>
        <v>6439.68</v>
      </c>
      <c r="F8" s="618"/>
      <c r="G8" s="560" t="s">
        <v>14</v>
      </c>
      <c r="H8" s="497">
        <f>O9</f>
        <v>32198.400000000001</v>
      </c>
      <c r="I8" s="498">
        <v>0.25</v>
      </c>
      <c r="J8" s="499">
        <f t="shared" si="1"/>
        <v>8049.6</v>
      </c>
      <c r="K8" s="490"/>
      <c r="L8" s="47"/>
      <c r="M8" s="377" t="s">
        <v>13</v>
      </c>
      <c r="N8" s="378">
        <f>[18]Salary!$AD$28</f>
        <v>31575.326535341828</v>
      </c>
      <c r="O8" s="378">
        <f>[18]Chart!C6</f>
        <v>32198.400000000001</v>
      </c>
      <c r="P8" s="7" t="s">
        <v>12</v>
      </c>
    </row>
    <row r="9" spans="2:16">
      <c r="B9" s="495"/>
      <c r="C9" s="494"/>
      <c r="D9" s="488"/>
      <c r="E9" s="500"/>
      <c r="F9" s="620"/>
      <c r="G9" s="559"/>
      <c r="H9" s="494"/>
      <c r="I9" s="488"/>
      <c r="J9" s="500"/>
      <c r="K9" s="501"/>
      <c r="L9" s="47"/>
      <c r="M9" s="377" t="s">
        <v>14</v>
      </c>
      <c r="N9" s="378">
        <f>[18]Salary!$AD$35</f>
        <v>31005.955465587038</v>
      </c>
      <c r="O9" s="378">
        <f>[18]Chart!C6</f>
        <v>32198.400000000001</v>
      </c>
      <c r="P9" s="7" t="s">
        <v>12</v>
      </c>
    </row>
    <row r="10" spans="2:16">
      <c r="B10" s="502" t="s">
        <v>16</v>
      </c>
      <c r="C10" s="503"/>
      <c r="D10" s="504">
        <f>SUM(D4:D8)</f>
        <v>2.4500000000000002</v>
      </c>
      <c r="E10" s="505">
        <f>SUM(E4:E8)</f>
        <v>119451.18</v>
      </c>
      <c r="F10" s="18"/>
      <c r="G10" s="565" t="s">
        <v>16</v>
      </c>
      <c r="H10" s="503"/>
      <c r="I10" s="504">
        <f>SUM(I4:I8)</f>
        <v>4</v>
      </c>
      <c r="J10" s="505">
        <f>SUM(J4:J8)</f>
        <v>219627</v>
      </c>
      <c r="K10" s="494"/>
      <c r="L10" s="47"/>
      <c r="M10" s="506" t="s">
        <v>6</v>
      </c>
      <c r="N10" s="507"/>
      <c r="O10" s="507"/>
      <c r="P10" s="22"/>
    </row>
    <row r="11" spans="2:16">
      <c r="B11" s="508"/>
      <c r="C11" s="509"/>
      <c r="D11" s="509"/>
      <c r="E11" s="510"/>
      <c r="F11" s="621"/>
      <c r="G11" s="6"/>
      <c r="H11" s="509"/>
      <c r="I11" s="509"/>
      <c r="J11" s="510"/>
      <c r="K11" s="511"/>
      <c r="L11" s="47"/>
      <c r="M11" s="395" t="s">
        <v>9</v>
      </c>
      <c r="N11" s="512">
        <f>[18]Salary!$AB$8</f>
        <v>0.76054545454545452</v>
      </c>
      <c r="O11" s="396" t="s">
        <v>321</v>
      </c>
      <c r="P11" s="513" t="s">
        <v>18</v>
      </c>
    </row>
    <row r="12" spans="2:16">
      <c r="B12" s="514" t="s">
        <v>20</v>
      </c>
      <c r="C12" s="515"/>
      <c r="D12" s="516">
        <f>O16</f>
        <v>0.224</v>
      </c>
      <c r="E12" s="517">
        <f>E10*D12</f>
        <v>26757.064319999998</v>
      </c>
      <c r="F12" s="11"/>
      <c r="G12" s="537" t="s">
        <v>20</v>
      </c>
      <c r="H12" s="515"/>
      <c r="I12" s="516">
        <f>O16</f>
        <v>0.224</v>
      </c>
      <c r="J12" s="517">
        <f>I12*J10</f>
        <v>49196.448000000004</v>
      </c>
      <c r="K12" s="509"/>
      <c r="L12" s="47"/>
      <c r="M12" s="377" t="s">
        <v>305</v>
      </c>
      <c r="N12" s="512">
        <f>[18]Salary!$AB$19</f>
        <v>0.30590909090909091</v>
      </c>
      <c r="O12" s="396" t="s">
        <v>322</v>
      </c>
      <c r="P12" s="513" t="s">
        <v>18</v>
      </c>
    </row>
    <row r="13" spans="2:16">
      <c r="B13" s="508" t="s">
        <v>39</v>
      </c>
      <c r="C13" s="509"/>
      <c r="D13" s="518">
        <f>O23</f>
        <v>3.7000000000000002E-3</v>
      </c>
      <c r="E13" s="519">
        <f>E10*D13</f>
        <v>441.96936599999998</v>
      </c>
      <c r="F13" s="26"/>
      <c r="G13" s="6" t="str">
        <f>B13</f>
        <v>PFMLA Trust Contribution</v>
      </c>
      <c r="H13" s="509"/>
      <c r="I13" s="518">
        <f>O23</f>
        <v>3.7000000000000002E-3</v>
      </c>
      <c r="J13" s="519">
        <f>I13*J10</f>
        <v>812.61990000000003</v>
      </c>
      <c r="K13" s="520"/>
      <c r="L13" s="47"/>
      <c r="M13" s="395" t="s">
        <v>13</v>
      </c>
      <c r="N13" s="512">
        <f>[18]Salary!$AB$30</f>
        <v>2.9420454545454549</v>
      </c>
      <c r="O13" s="396" t="s">
        <v>323</v>
      </c>
      <c r="P13" s="513" t="s">
        <v>18</v>
      </c>
    </row>
    <row r="14" spans="2:16">
      <c r="B14" s="502" t="s">
        <v>23</v>
      </c>
      <c r="C14" s="521"/>
      <c r="D14" s="521"/>
      <c r="E14" s="522">
        <f>E12+E10</f>
        <v>146208.24432</v>
      </c>
      <c r="F14" s="27"/>
      <c r="G14" s="565" t="s">
        <v>23</v>
      </c>
      <c r="H14" s="521"/>
      <c r="I14" s="521"/>
      <c r="J14" s="522">
        <f>J12+J10</f>
        <v>268823.44799999997</v>
      </c>
      <c r="K14" s="523"/>
      <c r="L14" s="47"/>
      <c r="M14" s="395" t="s">
        <v>14</v>
      </c>
      <c r="N14" s="524">
        <f>[18]Salary!$AB$37</f>
        <v>0.11227272727272729</v>
      </c>
      <c r="O14" s="396" t="s">
        <v>324</v>
      </c>
      <c r="P14" s="513" t="s">
        <v>18</v>
      </c>
    </row>
    <row r="15" spans="2:16">
      <c r="B15" s="514"/>
      <c r="C15" s="509"/>
      <c r="D15" s="509"/>
      <c r="E15" s="525"/>
      <c r="F15" s="26"/>
      <c r="G15" s="537"/>
      <c r="H15" s="509"/>
      <c r="I15" s="509"/>
      <c r="J15" s="525"/>
      <c r="K15" s="520"/>
      <c r="L15" s="47"/>
      <c r="M15" s="491" t="s">
        <v>24</v>
      </c>
      <c r="N15" s="526"/>
      <c r="O15" s="947"/>
      <c r="P15" s="22"/>
    </row>
    <row r="16" spans="2:16">
      <c r="B16" s="514" t="s">
        <v>27</v>
      </c>
      <c r="C16" s="509"/>
      <c r="D16" s="527">
        <v>13400</v>
      </c>
      <c r="E16" s="528">
        <f>D16*D10</f>
        <v>32830</v>
      </c>
      <c r="F16" s="39"/>
      <c r="G16" s="537" t="s">
        <v>27</v>
      </c>
      <c r="H16" s="509"/>
      <c r="I16" s="527">
        <v>21500</v>
      </c>
      <c r="J16" s="528">
        <f>I16*I10</f>
        <v>86000</v>
      </c>
      <c r="K16" s="529"/>
      <c r="L16" s="47"/>
      <c r="M16" s="410" t="s">
        <v>25</v>
      </c>
      <c r="N16" s="411">
        <f>[18]Pivots!$E$28+[18]Pivots!$E$29</f>
        <v>0.12813673533198905</v>
      </c>
      <c r="O16" s="411">
        <v>0.224</v>
      </c>
      <c r="P16" s="7" t="s">
        <v>26</v>
      </c>
    </row>
    <row r="17" spans="2:16">
      <c r="B17" s="514" t="s">
        <v>277</v>
      </c>
      <c r="C17" s="509"/>
      <c r="D17" s="527">
        <f>O18</f>
        <v>1607.66076</v>
      </c>
      <c r="E17" s="528">
        <f>D17*D10</f>
        <v>3938.7688620000004</v>
      </c>
      <c r="F17" s="31"/>
      <c r="G17" s="537" t="s">
        <v>277</v>
      </c>
      <c r="H17" s="509"/>
      <c r="I17" s="527">
        <f>O18</f>
        <v>1607.66076</v>
      </c>
      <c r="J17" s="528">
        <f>I17*I10</f>
        <v>6430.6430399999999</v>
      </c>
      <c r="K17" s="530"/>
      <c r="L17" s="47"/>
      <c r="M17" s="410" t="s">
        <v>294</v>
      </c>
      <c r="N17" s="414"/>
      <c r="O17" s="414" t="s">
        <v>325</v>
      </c>
      <c r="P17" s="7" t="s">
        <v>295</v>
      </c>
    </row>
    <row r="18" spans="2:16">
      <c r="B18" s="410" t="s">
        <v>316</v>
      </c>
      <c r="C18" s="509"/>
      <c r="D18" s="509"/>
      <c r="E18" s="525">
        <f>O19</f>
        <v>4474.6557820000007</v>
      </c>
      <c r="F18" s="31"/>
      <c r="G18" s="410" t="s">
        <v>316</v>
      </c>
      <c r="H18" s="509"/>
      <c r="I18" s="509"/>
      <c r="J18" s="525">
        <f>O19</f>
        <v>4474.6557820000007</v>
      </c>
      <c r="K18" s="530"/>
      <c r="L18" s="47"/>
      <c r="M18" s="410" t="s">
        <v>296</v>
      </c>
      <c r="N18" s="414">
        <f>[18]Pivots!$D$32</f>
        <v>6153.4500865996679</v>
      </c>
      <c r="O18" s="414">
        <f>1500*(4.38%+1)*(2.68%+1)</f>
        <v>1607.66076</v>
      </c>
      <c r="P18" s="7" t="s">
        <v>164</v>
      </c>
    </row>
    <row r="19" spans="2:16">
      <c r="B19" s="514" t="s">
        <v>29</v>
      </c>
      <c r="C19" s="509"/>
      <c r="D19" s="531"/>
      <c r="E19" s="528">
        <f>O20</f>
        <v>10377.986092720001</v>
      </c>
      <c r="F19" s="39"/>
      <c r="G19" s="537" t="s">
        <v>29</v>
      </c>
      <c r="H19" s="509"/>
      <c r="I19" s="531"/>
      <c r="J19" s="528">
        <f>O20</f>
        <v>10377.986092720001</v>
      </c>
      <c r="K19" s="530"/>
      <c r="L19" s="47"/>
      <c r="M19" s="410" t="s">
        <v>316</v>
      </c>
      <c r="N19" s="414">
        <f>[18]Pivots!$C$37</f>
        <v>1164.5454545454545</v>
      </c>
      <c r="O19" s="948">
        <f>'Therap Day Model II'!J20</f>
        <v>4474.6557820000007</v>
      </c>
      <c r="P19" s="7" t="str">
        <f>'Therap Day Model II'!K20</f>
        <v>Benchmarked to 101 CMR 350*+ compounding CAFs</v>
      </c>
    </row>
    <row r="20" spans="2:16">
      <c r="B20" s="502" t="s">
        <v>35</v>
      </c>
      <c r="C20" s="521"/>
      <c r="D20" s="521"/>
      <c r="E20" s="532">
        <f>E14+E16+E17+E15+E18+E19</f>
        <v>197829.65505671999</v>
      </c>
      <c r="F20" s="31"/>
      <c r="G20" s="565" t="s">
        <v>35</v>
      </c>
      <c r="H20" s="521"/>
      <c r="I20" s="521"/>
      <c r="J20" s="532">
        <f>J14+J16+J17+J15+J18+J19</f>
        <v>376106.73291471996</v>
      </c>
      <c r="K20" s="530"/>
      <c r="L20" s="47"/>
      <c r="M20" s="410" t="s">
        <v>309</v>
      </c>
      <c r="N20" s="414">
        <f>[18]Pivots!$C$45</f>
        <v>8188.59</v>
      </c>
      <c r="O20" s="948">
        <f>9683*(4.38%+1)*(2.68%+1)</f>
        <v>10377.986092720001</v>
      </c>
      <c r="P20" s="372" t="s">
        <v>299</v>
      </c>
    </row>
    <row r="21" spans="2:16" ht="15" thickBot="1">
      <c r="B21" s="622" t="s">
        <v>38</v>
      </c>
      <c r="C21" s="623"/>
      <c r="D21" s="623">
        <v>0.12</v>
      </c>
      <c r="E21" s="624">
        <f>E20*D21</f>
        <v>23739.558606806397</v>
      </c>
      <c r="F21" s="27"/>
      <c r="G21" s="534" t="s">
        <v>38</v>
      </c>
      <c r="H21" s="623"/>
      <c r="I21" s="623">
        <f>O21</f>
        <v>0.12</v>
      </c>
      <c r="J21" s="624">
        <f>J20*I21</f>
        <v>45132.807949766393</v>
      </c>
      <c r="K21" s="523"/>
      <c r="L21" s="47"/>
      <c r="M21" s="410" t="s">
        <v>33</v>
      </c>
      <c r="N21" s="421">
        <f>[18]Pivots!$E$27</f>
        <v>0.10213346631589997</v>
      </c>
      <c r="O21" s="421">
        <v>0.12</v>
      </c>
      <c r="P21" s="7" t="str">
        <f>'Therap Day Model III'!P22</f>
        <v>MA EOHHS C.257 Benchmark</v>
      </c>
    </row>
    <row r="22" spans="2:16" ht="15.6" thickTop="1" thickBot="1">
      <c r="B22" s="625" t="s">
        <v>41</v>
      </c>
      <c r="C22" s="626"/>
      <c r="D22" s="626"/>
      <c r="E22" s="627">
        <f>E20+E21</f>
        <v>221569.21366352637</v>
      </c>
      <c r="F22" s="27"/>
      <c r="G22" s="628" t="s">
        <v>41</v>
      </c>
      <c r="H22" s="626"/>
      <c r="I22" s="626"/>
      <c r="J22" s="627">
        <f>J20+J21</f>
        <v>421239.54086448636</v>
      </c>
      <c r="K22" s="523"/>
      <c r="L22" s="47"/>
      <c r="M22" s="629" t="s">
        <v>181</v>
      </c>
      <c r="N22" s="38"/>
      <c r="O22" s="953">
        <f>'[18]CAF Fall 2020'!CA25</f>
        <v>1.9959404600811814E-2</v>
      </c>
      <c r="P22" s="629" t="s">
        <v>301</v>
      </c>
    </row>
    <row r="23" spans="2:16" ht="15" thickBot="1">
      <c r="B23" s="630" t="s">
        <v>181</v>
      </c>
      <c r="C23" s="631"/>
      <c r="D23" s="632">
        <f>O22</f>
        <v>1.9959404600811814E-2</v>
      </c>
      <c r="E23" s="633">
        <f>(E22-E10)*D23</f>
        <v>2038.2151509296441</v>
      </c>
      <c r="F23" s="27"/>
      <c r="G23" s="582" t="s">
        <v>181</v>
      </c>
      <c r="H23" s="583"/>
      <c r="I23" s="584">
        <f>O22</f>
        <v>1.9959404600811814E-2</v>
      </c>
      <c r="J23" s="634">
        <f>(J22-J10)*I23</f>
        <v>4024.066275711989</v>
      </c>
      <c r="K23" s="523"/>
      <c r="L23" s="47"/>
      <c r="M23" s="468" t="str">
        <f>'[18]Model III'!M24</f>
        <v>PFMLA Trust Contribution</v>
      </c>
      <c r="N23" s="432"/>
      <c r="O23" s="946">
        <v>3.7000000000000002E-3</v>
      </c>
      <c r="P23" s="469" t="str">
        <f>'[18]Model III'!P24</f>
        <v>Effective 7/1/19</v>
      </c>
    </row>
    <row r="24" spans="2:16" ht="15" thickBot="1">
      <c r="B24" s="635" t="s">
        <v>42</v>
      </c>
      <c r="C24" s="35"/>
      <c r="D24" s="636"/>
      <c r="E24" s="637">
        <f>E22+E23</f>
        <v>223607.42881445601</v>
      </c>
      <c r="F24" s="547"/>
      <c r="G24" s="34" t="str">
        <f>B24</f>
        <v>Total Annual Amount</v>
      </c>
      <c r="H24" s="35"/>
      <c r="I24" s="636"/>
      <c r="J24" s="637">
        <f>J22+J23</f>
        <v>425263.60714019835</v>
      </c>
      <c r="K24" s="547"/>
    </row>
    <row r="25" spans="2:16" ht="15" thickBot="1">
      <c r="B25" s="638" t="s">
        <v>43</v>
      </c>
      <c r="C25" s="35"/>
      <c r="D25" s="35"/>
      <c r="E25" s="639">
        <f>E24/12</f>
        <v>18633.952401204668</v>
      </c>
      <c r="F25" s="11"/>
      <c r="G25" s="638" t="s">
        <v>43</v>
      </c>
      <c r="H25" s="35"/>
      <c r="I25" s="35"/>
      <c r="J25" s="639">
        <f>J24/12</f>
        <v>35438.63392834986</v>
      </c>
      <c r="K25" s="11"/>
    </row>
    <row r="26" spans="2:16">
      <c r="J26" s="640"/>
      <c r="K26" s="552"/>
    </row>
    <row r="27" spans="2:16">
      <c r="D27" s="550"/>
      <c r="E27" s="551"/>
      <c r="I27" s="550"/>
      <c r="J27" s="551"/>
    </row>
  </sheetData>
  <mergeCells count="5">
    <mergeCell ref="B1:E1"/>
    <mergeCell ref="G1:J1"/>
    <mergeCell ref="B2:E2"/>
    <mergeCell ref="G2:J2"/>
    <mergeCell ref="M2:P2"/>
  </mergeCells>
  <pageMargins left="0.25" right="0.25" top="0.75" bottom="0.75" header="0.3" footer="0.3"/>
  <pageSetup scale="50" orientation="landscape" r:id="rId1"/>
  <ignoredErrors>
    <ignoredError sqref="J23 E2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C17" sqref="C17"/>
    </sheetView>
  </sheetViews>
  <sheetFormatPr defaultRowHeight="14.4"/>
  <cols>
    <col min="1" max="1" width="36.6640625" customWidth="1"/>
    <col min="2" max="2" width="17.44140625" customWidth="1"/>
    <col min="3" max="3" width="15.44140625" customWidth="1"/>
    <col min="4" max="4" width="14.88671875" customWidth="1"/>
    <col min="6" max="6" width="17.77734375" customWidth="1"/>
  </cols>
  <sheetData>
    <row r="1" spans="1:6" ht="15" thickBot="1">
      <c r="A1" s="641" t="s">
        <v>326</v>
      </c>
      <c r="B1" s="641"/>
      <c r="C1" s="641"/>
      <c r="D1" s="641"/>
      <c r="E1" s="641"/>
      <c r="F1" s="641"/>
    </row>
    <row r="2" spans="1:6" ht="43.8" thickBot="1">
      <c r="A2" s="642"/>
      <c r="B2" s="643" t="s">
        <v>248</v>
      </c>
      <c r="C2" s="644" t="s">
        <v>11</v>
      </c>
      <c r="D2" s="644" t="s">
        <v>327</v>
      </c>
      <c r="E2" s="645" t="s">
        <v>4</v>
      </c>
      <c r="F2" s="646"/>
    </row>
    <row r="3" spans="1:6">
      <c r="A3" s="647" t="s">
        <v>5</v>
      </c>
      <c r="B3" s="954">
        <f>'[19]Salary Bench Chart'!C4</f>
        <v>32198.400000000001</v>
      </c>
      <c r="C3" s="648">
        <v>41517</v>
      </c>
      <c r="D3" s="648">
        <v>60923</v>
      </c>
      <c r="E3" s="649" t="s">
        <v>328</v>
      </c>
      <c r="F3" s="650"/>
    </row>
    <row r="4" spans="1:6">
      <c r="A4" s="651" t="s">
        <v>329</v>
      </c>
      <c r="B4" s="955">
        <f>'[19]Salary Bench Chart'!$C$30</f>
        <v>0.224</v>
      </c>
      <c r="C4" s="652">
        <f>'[19]Salary Bench Chart'!$C$30</f>
        <v>0.224</v>
      </c>
      <c r="D4" s="652">
        <f>'[19]Salary Bench Chart'!$C$30</f>
        <v>0.224</v>
      </c>
      <c r="E4" s="653" t="s">
        <v>340</v>
      </c>
      <c r="F4" s="654"/>
    </row>
    <row r="5" spans="1:6">
      <c r="A5" s="651" t="s">
        <v>330</v>
      </c>
      <c r="B5" s="956">
        <f>B3*B4</f>
        <v>7212.4416000000001</v>
      </c>
      <c r="C5" s="655">
        <f t="shared" ref="C5:D5" si="0">C3*C4</f>
        <v>9299.8080000000009</v>
      </c>
      <c r="D5" s="655">
        <f t="shared" si="0"/>
        <v>13646.752</v>
      </c>
      <c r="E5" s="656"/>
      <c r="F5" s="657"/>
    </row>
    <row r="6" spans="1:6">
      <c r="A6" s="651" t="s">
        <v>331</v>
      </c>
      <c r="B6" s="956">
        <f>B3+B5</f>
        <v>39410.8416</v>
      </c>
      <c r="C6" s="655">
        <f t="shared" ref="C6:D6" si="1">C3+C5</f>
        <v>50816.808000000005</v>
      </c>
      <c r="D6" s="655">
        <f t="shared" si="1"/>
        <v>74569.752000000008</v>
      </c>
      <c r="E6" s="656"/>
      <c r="F6" s="657"/>
    </row>
    <row r="7" spans="1:6">
      <c r="A7" s="658" t="s">
        <v>332</v>
      </c>
      <c r="B7" s="957">
        <f>B3*E7</f>
        <v>119.13408000000001</v>
      </c>
      <c r="C7" s="659">
        <v>154</v>
      </c>
      <c r="D7" s="659">
        <f>D3*E7</f>
        <v>225.41510000000002</v>
      </c>
      <c r="E7" s="660">
        <v>3.7000000000000002E-3</v>
      </c>
      <c r="F7" s="661"/>
    </row>
    <row r="8" spans="1:6">
      <c r="A8" s="651" t="s">
        <v>333</v>
      </c>
      <c r="B8" s="956">
        <f>B7+B6</f>
        <v>39529.975680000003</v>
      </c>
      <c r="C8" s="655">
        <f t="shared" ref="C8:D8" si="2">C7+C6</f>
        <v>50970.808000000005</v>
      </c>
      <c r="D8" s="655">
        <f t="shared" si="2"/>
        <v>74795.167100000006</v>
      </c>
      <c r="E8" s="662"/>
      <c r="F8" s="663"/>
    </row>
    <row r="9" spans="1:6" ht="15" thickBot="1">
      <c r="A9" s="651" t="s">
        <v>181</v>
      </c>
      <c r="B9" s="958">
        <v>130</v>
      </c>
      <c r="C9" s="664">
        <v>168</v>
      </c>
      <c r="D9" s="664">
        <v>247</v>
      </c>
      <c r="E9" s="665"/>
      <c r="F9" s="666"/>
    </row>
    <row r="10" spans="1:6" ht="15.6" thickTop="1" thickBot="1">
      <c r="A10" s="667" t="s">
        <v>334</v>
      </c>
      <c r="B10" s="959">
        <f>SUM(B8+B9)/12</f>
        <v>3304.9979733333334</v>
      </c>
      <c r="C10" s="668">
        <f t="shared" ref="C10:D10" si="3">SUM(C8+C9)/12</f>
        <v>4261.5673333333334</v>
      </c>
      <c r="D10" s="668">
        <f t="shared" si="3"/>
        <v>6253.5139250000002</v>
      </c>
      <c r="E10" s="671"/>
      <c r="F10" s="672"/>
    </row>
    <row r="11" spans="1:6" ht="15" thickBot="1">
      <c r="A11" s="667" t="s">
        <v>335</v>
      </c>
      <c r="B11" s="959">
        <f>B10*0.75</f>
        <v>2478.7484800000002</v>
      </c>
      <c r="C11" s="668">
        <f t="shared" ref="C11:D11" si="4">C10*0.75</f>
        <v>3196.1755000000003</v>
      </c>
      <c r="D11" s="668">
        <f t="shared" si="4"/>
        <v>4690.1354437500004</v>
      </c>
      <c r="E11" s="671"/>
      <c r="F11" s="672"/>
    </row>
    <row r="12" spans="1:6" ht="15" thickBot="1">
      <c r="A12" s="667" t="s">
        <v>336</v>
      </c>
      <c r="B12" s="959">
        <f>B10*0.5</f>
        <v>1652.4989866666667</v>
      </c>
      <c r="C12" s="668">
        <f t="shared" ref="C12:D12" si="5">C10*0.5</f>
        <v>2130.7836666666667</v>
      </c>
      <c r="D12" s="668">
        <f t="shared" si="5"/>
        <v>3126.7569625000001</v>
      </c>
      <c r="E12" s="671"/>
      <c r="F12" s="672"/>
    </row>
    <row r="13" spans="1:6" ht="15" thickBot="1">
      <c r="A13" s="667" t="s">
        <v>337</v>
      </c>
      <c r="B13" s="959">
        <f>B10*0.25</f>
        <v>826.24949333333336</v>
      </c>
      <c r="C13" s="668">
        <f t="shared" ref="C13:D13" si="6">C10*0.25</f>
        <v>1065.3918333333334</v>
      </c>
      <c r="D13" s="668">
        <f t="shared" si="6"/>
        <v>1563.37848125</v>
      </c>
      <c r="E13" s="669"/>
      <c r="F13" s="670"/>
    </row>
  </sheetData>
  <mergeCells count="7">
    <mergeCell ref="E9:F9"/>
    <mergeCell ref="A1:F1"/>
    <mergeCell ref="E2:F2"/>
    <mergeCell ref="E3:F3"/>
    <mergeCell ref="E4:F4"/>
    <mergeCell ref="E5:F6"/>
    <mergeCell ref="E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YPS </vt:lpstr>
      <vt:lpstr> ALP</vt:lpstr>
      <vt:lpstr>Conflict of Interest</vt:lpstr>
      <vt:lpstr> TPP</vt:lpstr>
      <vt:lpstr>Therap Day Model I</vt:lpstr>
      <vt:lpstr>Therap Day Model II</vt:lpstr>
      <vt:lpstr>Therap Day Model III</vt:lpstr>
      <vt:lpstr>Therap Day Model IV</vt:lpstr>
      <vt:lpstr>Staff Add-on Rates</vt:lpstr>
      <vt:lpstr>CAF </vt:lpstr>
      <vt:lpstr>Chart</vt:lpstr>
      <vt:lpstr>' ALP'!Print_Area</vt:lpstr>
      <vt:lpstr>' TPP'!Print_Area</vt:lpstr>
      <vt:lpstr>Chart!Print_Area</vt:lpstr>
      <vt:lpstr>'Conflict of Interest'!Print_Area</vt:lpstr>
      <vt:lpstr>'Therap Day Model II'!Print_Area</vt:lpstr>
      <vt:lpstr>'Therap Day Model III'!Print_Area</vt:lpstr>
      <vt:lpstr>'Therap Day Model IV'!Print_Area</vt:lpstr>
      <vt:lpstr>'YPS '!Print_Area</vt:lpstr>
      <vt:lpstr>'CAF 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kara</cp:lastModifiedBy>
  <dcterms:created xsi:type="dcterms:W3CDTF">2021-03-22T12:23:29Z</dcterms:created>
  <dcterms:modified xsi:type="dcterms:W3CDTF">2021-03-22T12:57:58Z</dcterms:modified>
</cp:coreProperties>
</file>