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7C5D59BE-77A5-4F64-8D91-8A338CC70978}" xr6:coauthVersionLast="47" xr6:coauthVersionMax="47" xr10:uidLastSave="{00000000-0000-0000-0000-000000000000}"/>
  <bookViews>
    <workbookView xWindow="3435" yWindow="3990" windowWidth="17340" windowHeight="10995" tabRatio="827" activeTab="6" xr2:uid="{4B8F1F2E-E171-463F-AEFE-F9915A406608}"/>
  </bookViews>
  <sheets>
    <sheet name="CAF FALL 2022" sheetId="1" r:id="rId1"/>
    <sheet name="M2021 BLS SALARY CHART (53_PCT)" sheetId="2" r:id="rId2"/>
    <sheet name="PACT 50 Rate Budget" sheetId="3" r:id="rId3"/>
    <sheet name="PACT 80 Rate Budget" sheetId="4" r:id="rId4"/>
    <sheet name="Forensic PACT Rate Budget" sheetId="5" r:id="rId5"/>
    <sheet name="Forensic GLE Budget" sheetId="6" r:id="rId6"/>
    <sheet name="PACT Youth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Key1" localSheetId="6" hidden="1">#REF!</definedName>
    <definedName name="_Key1" hidden="1">#REF!</definedName>
    <definedName name="_Sort" localSheetId="6" hidden="1">#REF!</definedName>
    <definedName name="_Sort" hidden="1">#REF!</definedName>
    <definedName name="alldata" localSheetId="1">#REF!</definedName>
    <definedName name="alldata" localSheetId="6">#REF!</definedName>
    <definedName name="alldata">#REF!</definedName>
    <definedName name="alled" localSheetId="1">#REF!</definedName>
    <definedName name="alled" localSheetId="6">#REF!</definedName>
    <definedName name="alled">#REF!</definedName>
    <definedName name="allstem" localSheetId="1">#REF!</definedName>
    <definedName name="allstem" localSheetId="6">#REF!</definedName>
    <definedName name="allstem">#REF!</definedName>
    <definedName name="Area">[1]Sheet2!$A$2:$A$28</definedName>
    <definedName name="ARENEW">[2]amendA!$B$1:$U$51</definedName>
    <definedName name="asdfasd">'[3]Complete UFR List'!#REF!</definedName>
    <definedName name="asdfasdf" localSheetId="1">#REF!</definedName>
    <definedName name="asdfasdf" localSheetId="6">#N/A</definedName>
    <definedName name="asdfasdf">#REF!</definedName>
    <definedName name="ATTABOY">[2]amendA!$B$2:$S$2</definedName>
    <definedName name="AutoInsurance">[4]Universal!$C$19</definedName>
    <definedName name="autsupp2" localSheetId="6">#REF!</definedName>
    <definedName name="autsupp2">#REF!</definedName>
    <definedName name="Average" localSheetId="1">#REF!</definedName>
    <definedName name="Average" localSheetId="6">#N/A</definedName>
    <definedName name="Average">#REF!</definedName>
    <definedName name="BB6_4" localSheetId="6">#REF!</definedName>
    <definedName name="BB6_4">#REF!</definedName>
    <definedName name="CAF_NEW" localSheetId="6">[5]RawDataCalcs!$L$70:$DB$70</definedName>
    <definedName name="CAF_NEW">[6]RawDataCalcs!$L$70:$DB$70</definedName>
    <definedName name="Cap" localSheetId="1">[7]RawDataCalcs!$L$35:$DB$35</definedName>
    <definedName name="Cap" localSheetId="6">[8]RawDataCalcs!$L$70:$DB$70</definedName>
    <definedName name="Cap">[9]RawDataCalcs!$L$70:$DB$70</definedName>
    <definedName name="capa">[10]RawDataCalcs!$L$17:$DB$17</definedName>
    <definedName name="COLA">[4]Universal!$C$12</definedName>
    <definedName name="Data" localSheetId="1">#REF!</definedName>
    <definedName name="Data" localSheetId="6">#N/A</definedName>
    <definedName name="Data">#REF!</definedName>
    <definedName name="Electricity">[4]Universal!$C$21</definedName>
    <definedName name="Fisc">'[3]Complete UFR List'!#REF!</definedName>
    <definedName name="FiveDay">[4]Universal!$C$17</definedName>
    <definedName name="Floor" localSheetId="1">[7]RawDataCalcs!$L$34:$DB$34</definedName>
    <definedName name="Floor" localSheetId="6">[8]RawDataCalcs!$L$69:$DB$69</definedName>
    <definedName name="Floor">[9]RawDataCalcs!$L$69:$DB$69</definedName>
    <definedName name="Fringe">[4]Universal!$C$8</definedName>
    <definedName name="FROM">[2]amendA!$G$7</definedName>
    <definedName name="Funds" localSheetId="6">'[11]RawDataCalcs3386&amp;3401'!$L$68:$DB$68</definedName>
    <definedName name="Funds">'[12]RawDataCalcs3386&amp;3401'!$L$68:$DB$68</definedName>
    <definedName name="GA">[4]Universal!$C$13</definedName>
    <definedName name="Gas">[4]Universal!$C$22</definedName>
    <definedName name="gk" localSheetId="1">#REF!</definedName>
    <definedName name="gk" localSheetId="6">#N/A</definedName>
    <definedName name="gk">#REF!</definedName>
    <definedName name="hhh" localSheetId="1">#REF!</definedName>
    <definedName name="hhh" localSheetId="6">#N/A</definedName>
    <definedName name="hhh">#REF!</definedName>
    <definedName name="Holidays">[4]Universal!$C$49:$C$59</definedName>
    <definedName name="JailDAverage" localSheetId="1">#REF!</definedName>
    <definedName name="JailDAverage" localSheetId="6">#N/A</definedName>
    <definedName name="JailDAverage">#REF!</definedName>
    <definedName name="JailDCap" localSheetId="6">[13]ALLRawDataCalcs!$L$80:$DB$80</definedName>
    <definedName name="JailDCap">[14]ALLRawDataCalcs!$L$80:$DB$80</definedName>
    <definedName name="JailDFloor" localSheetId="6">[13]ALLRawDataCalcs!$L$79:$DB$79</definedName>
    <definedName name="JailDFloor">[14]ALLRawDataCalcs!$L$79:$DB$79</definedName>
    <definedName name="JailDgk" localSheetId="1">#REF!</definedName>
    <definedName name="JailDgk" localSheetId="6">#N/A</definedName>
    <definedName name="JailDgk">#REF!</definedName>
    <definedName name="JailDMax" localSheetId="1">#REF!</definedName>
    <definedName name="JailDMax" localSheetId="6">#N/A</definedName>
    <definedName name="JailDMax">#REF!</definedName>
    <definedName name="JailDMedian" localSheetId="1">#REF!</definedName>
    <definedName name="JailDMedian" localSheetId="6">#N/A</definedName>
    <definedName name="JailDMedian">#REF!</definedName>
    <definedName name="jm" localSheetId="6">'[3]Complete UFR List'!#REF!</definedName>
    <definedName name="jm">'[3]Complete UFR List'!#REF!</definedName>
    <definedName name="kls" localSheetId="1">#REF!</definedName>
    <definedName name="kls" localSheetId="6">#N/A</definedName>
    <definedName name="kls">#REF!</definedName>
    <definedName name="ListProviders">'[15]List of Programs'!$A$24:$A$29</definedName>
    <definedName name="Max" localSheetId="1">#REF!</definedName>
    <definedName name="Max" localSheetId="6">#N/A</definedName>
    <definedName name="Max">#REF!</definedName>
    <definedName name="Median" localSheetId="1">#REF!</definedName>
    <definedName name="Median" localSheetId="6">#N/A</definedName>
    <definedName name="Median">#REF!</definedName>
    <definedName name="Min" localSheetId="1">#REF!</definedName>
    <definedName name="Min" localSheetId="6">#N/A</definedName>
    <definedName name="Min">#REF!</definedName>
    <definedName name="mr" localSheetId="6">#REF!</definedName>
    <definedName name="mr">#REF!</definedName>
    <definedName name="MT" localSheetId="1">#REF!</definedName>
    <definedName name="MT" localSheetId="6">#N/A</definedName>
    <definedName name="MT">#REF!</definedName>
    <definedName name="new" localSheetId="1">#REF!</definedName>
    <definedName name="new" localSheetId="6">#N/A</definedName>
    <definedName name="new">#REF!</definedName>
    <definedName name="Oil">[4]Universal!$C$23</definedName>
    <definedName name="ok" localSheetId="1">#REF!</definedName>
    <definedName name="ok" localSheetId="6">#N/A</definedName>
    <definedName name="ok">#REF!</definedName>
    <definedName name="Paydays">[4]Universal!$C$33:$N$33</definedName>
    <definedName name="Phone">[4]Universal!$C$25</definedName>
    <definedName name="_xlnm.Print_Area" localSheetId="5">'Forensic GLE Budget'!$G$1:$N$29</definedName>
    <definedName name="_xlnm.Print_Area" localSheetId="1">'M2021 BLS SALARY CHART (53_PCT)'!$B$1:$E$46</definedName>
    <definedName name="_xlnm.Print_Area" localSheetId="2">'PACT 50 Rate Budget'!$G$1:$N$34</definedName>
    <definedName name="_xlnm.Print_Area" localSheetId="3">'PACT 80 Rate Budget'!$A$1:$N$39</definedName>
    <definedName name="_xlnm.Print_Area" localSheetId="6">#N/A</definedName>
    <definedName name="_xlnm.Print_Titles" localSheetId="0">'CAF FALL 2022'!$A:$A</definedName>
    <definedName name="Program_File" localSheetId="1">#REF!</definedName>
    <definedName name="Program_File" localSheetId="6">#N/A</definedName>
    <definedName name="Program_File">#REF!</definedName>
    <definedName name="Programs">'[15]List of Programs'!$B$3:$B$19</definedName>
    <definedName name="PropInsurance">[4]Universal!$C$20</definedName>
    <definedName name="ProvFTE">'[16]FTE Data'!$A$3:$AW$56</definedName>
    <definedName name="PTO_Hours">[4]Universal!$F$72:$F$78</definedName>
    <definedName name="PTO_Years">[4]Universal!$B$72:$B$78</definedName>
    <definedName name="PurchasedBy">'[16]FTE Data'!$C$263:$AZ$657</definedName>
    <definedName name="REGION">[1]Sheet2!$B$1:$B$5</definedName>
    <definedName name="Relief">[4]Universal!$C$14</definedName>
    <definedName name="resmay2007" localSheetId="1">#REF!</definedName>
    <definedName name="resmay2007" localSheetId="6">#N/A</definedName>
    <definedName name="resmay2007">#REF!</definedName>
    <definedName name="SevenDay">[4]Universal!$C$18</definedName>
    <definedName name="sheet1" localSheetId="1">#REF!</definedName>
    <definedName name="sheet1" localSheetId="6">#REF!</definedName>
    <definedName name="sheet1">#REF!</definedName>
    <definedName name="Site_list">[16]Lists!$A$2:$A$53</definedName>
    <definedName name="Source" localSheetId="1">#REF!</definedName>
    <definedName name="Source" localSheetId="6">#N/A</definedName>
    <definedName name="Source">#REF!</definedName>
    <definedName name="Source_2" localSheetId="1">#REF!</definedName>
    <definedName name="Source_2" localSheetId="6">#N/A</definedName>
    <definedName name="Source_2">#REF!</definedName>
    <definedName name="SourcePathAndFileName" localSheetId="1">#REF!</definedName>
    <definedName name="SourcePathAndFileName" localSheetId="6">#N/A</definedName>
    <definedName name="SourcePathAndFileName">#REF!</definedName>
    <definedName name="StaffApp">[4]Universal!$C$11</definedName>
    <definedName name="Tax">[4]Universal!$C$7</definedName>
    <definedName name="TO">[2]amendA!$K$7:$O$7</definedName>
    <definedName name="Total_UFR" localSheetId="1">#REF!</definedName>
    <definedName name="Total_UFR" localSheetId="6">#N/A</definedName>
    <definedName name="Total_UFR">#REF!</definedName>
    <definedName name="Total_UFRs" localSheetId="1">#REF!</definedName>
    <definedName name="Total_UFRs" localSheetId="6">#N/A</definedName>
    <definedName name="Total_UFRs">#REF!</definedName>
    <definedName name="Total_UFRs_" localSheetId="1">#REF!</definedName>
    <definedName name="Total_UFRs_" localSheetId="6">#N/A</definedName>
    <definedName name="Total_UFRs_">#REF!</definedName>
    <definedName name="TotalDays">[4]Universal!$C$30:$N$30</definedName>
    <definedName name="UFR" localSheetId="1">'[3]Complete UFR List'!#REF!</definedName>
    <definedName name="UFR" localSheetId="6">'[3]Complete UFR List'!#REF!</definedName>
    <definedName name="UFR">'[3]Complete UFR List'!#REF!</definedName>
    <definedName name="UFRS" localSheetId="6">'[3]Complete UFR List'!#REF!</definedName>
    <definedName name="UFRS">'[3]Complete UFR List'!#REF!</definedName>
    <definedName name="UPDATE" localSheetId="6">'[3]Complete UFR List'!#REF!</definedName>
    <definedName name="UPDATE">'[3]Complete UFR List'!#REF!</definedName>
    <definedName name="VacAccr">[4]Universal!$C$9</definedName>
    <definedName name="VBB">[4]Universal!$C$10</definedName>
    <definedName name="VBBDist">[4]Universal!$B$35:$N$35</definedName>
    <definedName name="VBBLines">[4]Universal!$B$85:$B$97</definedName>
    <definedName name="Wages5">[4]Universal!$C$37:$N$37</definedName>
    <definedName name="Wages7">[4]Universal!$C$38:$N$38</definedName>
    <definedName name="Water">[4]Universal!$C$24</definedName>
    <definedName name="Weekdays">[4]Universal!$C$31:$N$31</definedName>
    <definedName name="wefqwerqwe">'[3]Complete UFR List'!#REF!</definedName>
    <definedName name="yes">'[3]Complete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8" l="1"/>
  <c r="L11" i="8" s="1"/>
  <c r="H9" i="8"/>
  <c r="H8" i="8"/>
  <c r="N16" i="6"/>
  <c r="J8" i="6"/>
  <c r="G6" i="6"/>
  <c r="J8" i="5"/>
  <c r="G6" i="5"/>
  <c r="G7" i="5"/>
  <c r="G5" i="5"/>
  <c r="J8" i="4"/>
  <c r="D25" i="8" l="1"/>
  <c r="J16" i="8"/>
  <c r="Q19" i="8"/>
  <c r="E23" i="8" s="1"/>
  <c r="F23" i="8" s="1"/>
  <c r="E22" i="8"/>
  <c r="Q17" i="8"/>
  <c r="J12" i="8" s="1"/>
  <c r="L12" i="8" s="1"/>
  <c r="E18" i="8"/>
  <c r="B17" i="8"/>
  <c r="D16" i="8"/>
  <c r="F16" i="8" s="1"/>
  <c r="B16" i="8"/>
  <c r="B15" i="8"/>
  <c r="B14" i="8"/>
  <c r="D13" i="8"/>
  <c r="F13" i="8" s="1"/>
  <c r="B13" i="8"/>
  <c r="D12" i="8"/>
  <c r="F12" i="8" s="1"/>
  <c r="B12" i="8"/>
  <c r="D11" i="8"/>
  <c r="F11" i="8" s="1"/>
  <c r="B11" i="8"/>
  <c r="B9" i="8"/>
  <c r="B8" i="8"/>
  <c r="D8" i="8"/>
  <c r="F8" i="8" s="1"/>
  <c r="L4" i="8"/>
  <c r="F4" i="8"/>
  <c r="L13" i="8" l="1"/>
  <c r="K14" i="8"/>
  <c r="L14" i="8" s="1"/>
  <c r="L17" i="8" s="1"/>
  <c r="F22" i="8"/>
  <c r="D17" i="8"/>
  <c r="F17" i="8" s="1"/>
  <c r="D15" i="8"/>
  <c r="F15" i="8" s="1"/>
  <c r="D20" i="8"/>
  <c r="D9" i="8"/>
  <c r="F9" i="8" s="1"/>
  <c r="F18" i="8" s="1"/>
  <c r="F20" i="8" s="1"/>
  <c r="F21" i="8" s="1"/>
  <c r="F24" i="8" s="1"/>
  <c r="D14" i="8"/>
  <c r="F14" i="8" s="1"/>
  <c r="L16" i="8" l="1"/>
  <c r="L15" i="8"/>
  <c r="F27" i="8"/>
  <c r="F25" i="8"/>
  <c r="L18" i="8" l="1"/>
  <c r="L19" i="8" s="1"/>
  <c r="F30" i="8"/>
  <c r="F28" i="8"/>
  <c r="F29" i="8" s="1"/>
  <c r="L20" i="8" l="1"/>
  <c r="H22" i="6"/>
  <c r="C26" i="6"/>
  <c r="C24" i="6"/>
  <c r="I14" i="6"/>
  <c r="B19" i="6"/>
  <c r="G15" i="6" s="1"/>
  <c r="M13" i="6"/>
  <c r="C22" i="6" s="1"/>
  <c r="I13" i="6"/>
  <c r="J13" i="6" s="1"/>
  <c r="D18" i="6"/>
  <c r="B18" i="6"/>
  <c r="G14" i="6" s="1"/>
  <c r="M12" i="6"/>
  <c r="D19" i="6" s="1"/>
  <c r="D17" i="6"/>
  <c r="E17" i="6" s="1"/>
  <c r="B17" i="6"/>
  <c r="G13" i="6" s="1"/>
  <c r="D10" i="6"/>
  <c r="D9" i="6"/>
  <c r="C9" i="6"/>
  <c r="D8" i="6"/>
  <c r="D7" i="6"/>
  <c r="J3" i="6"/>
  <c r="E3" i="6"/>
  <c r="B40" i="5"/>
  <c r="D33" i="5"/>
  <c r="N19" i="5"/>
  <c r="D30" i="5"/>
  <c r="M17" i="5"/>
  <c r="D28" i="5" s="1"/>
  <c r="B25" i="5"/>
  <c r="G14" i="5" s="1"/>
  <c r="D24" i="5"/>
  <c r="I13" i="5" s="1"/>
  <c r="B24" i="5"/>
  <c r="G13" i="5" s="1"/>
  <c r="D15" i="5"/>
  <c r="D14" i="5"/>
  <c r="D13" i="5"/>
  <c r="D11" i="5"/>
  <c r="D10" i="5"/>
  <c r="D9" i="5"/>
  <c r="C9" i="5"/>
  <c r="D7" i="5"/>
  <c r="D6" i="5"/>
  <c r="J3" i="5"/>
  <c r="E3" i="5"/>
  <c r="H21" i="4"/>
  <c r="C34" i="4"/>
  <c r="N20" i="4"/>
  <c r="L20" i="4"/>
  <c r="D31" i="4"/>
  <c r="N18" i="4"/>
  <c r="N17" i="5" s="1"/>
  <c r="N13" i="6" s="1"/>
  <c r="M18" i="4"/>
  <c r="D29" i="4" s="1"/>
  <c r="N17" i="4"/>
  <c r="N16" i="5" s="1"/>
  <c r="M17" i="4"/>
  <c r="D26" i="4" s="1"/>
  <c r="N16" i="4"/>
  <c r="B26" i="4"/>
  <c r="G14" i="4" s="1"/>
  <c r="B25" i="4"/>
  <c r="G13" i="4" s="1"/>
  <c r="D16" i="4"/>
  <c r="D14" i="4"/>
  <c r="D13" i="4"/>
  <c r="D11" i="4"/>
  <c r="D10" i="4"/>
  <c r="D9" i="4"/>
  <c r="D7" i="4"/>
  <c r="C9" i="4"/>
  <c r="D6" i="4"/>
  <c r="J3" i="4"/>
  <c r="E3" i="4"/>
  <c r="D33" i="3"/>
  <c r="I21" i="3" s="1"/>
  <c r="D30" i="3"/>
  <c r="M17" i="3"/>
  <c r="D28" i="3" s="1"/>
  <c r="M16" i="5"/>
  <c r="D25" i="5" s="1"/>
  <c r="D24" i="3"/>
  <c r="I13" i="3" s="1"/>
  <c r="J13" i="3" s="1"/>
  <c r="B25" i="3"/>
  <c r="G14" i="3" s="1"/>
  <c r="B24" i="3"/>
  <c r="G13" i="3" s="1"/>
  <c r="D15" i="3"/>
  <c r="D13" i="3"/>
  <c r="D11" i="3"/>
  <c r="D10" i="3"/>
  <c r="D9" i="3"/>
  <c r="D7" i="3"/>
  <c r="C9" i="3"/>
  <c r="D6" i="3"/>
  <c r="J3" i="3"/>
  <c r="E3" i="3"/>
  <c r="C46" i="2"/>
  <c r="C38" i="2"/>
  <c r="M14" i="3" s="1"/>
  <c r="C33" i="2"/>
  <c r="C34" i="2" s="1"/>
  <c r="C31" i="2"/>
  <c r="C32" i="2" s="1"/>
  <c r="C10" i="4" s="1"/>
  <c r="C29" i="2"/>
  <c r="C30" i="2" s="1"/>
  <c r="C27" i="2"/>
  <c r="C28" i="2" s="1"/>
  <c r="C25" i="2"/>
  <c r="C26" i="2" s="1"/>
  <c r="C23" i="2"/>
  <c r="C24" i="2" s="1"/>
  <c r="C21" i="2"/>
  <c r="C22" i="2" s="1"/>
  <c r="C19" i="2"/>
  <c r="C20" i="2" s="1"/>
  <c r="C17" i="2"/>
  <c r="C18" i="2" s="1"/>
  <c r="C15" i="2"/>
  <c r="C16" i="2" s="1"/>
  <c r="C13" i="2"/>
  <c r="C14" i="2" s="1"/>
  <c r="C11" i="2"/>
  <c r="C12" i="2" s="1"/>
  <c r="C9" i="2"/>
  <c r="C10" i="2" s="1"/>
  <c r="C7" i="2"/>
  <c r="C8" i="2" s="1"/>
  <c r="C5" i="2"/>
  <c r="C6" i="2" s="1"/>
  <c r="CI24" i="1"/>
  <c r="CH24" i="1"/>
  <c r="CG24" i="1"/>
  <c r="CF24" i="1"/>
  <c r="CE24" i="1"/>
  <c r="CD24" i="1"/>
  <c r="CC24" i="1"/>
  <c r="CB24" i="1"/>
  <c r="CK24" i="1" s="1"/>
  <c r="CK26" i="1" s="1"/>
  <c r="M19" i="3" s="1"/>
  <c r="I9" i="3" s="1"/>
  <c r="J9" i="3" s="1"/>
  <c r="CI23" i="1"/>
  <c r="CH23" i="1"/>
  <c r="CG23" i="1"/>
  <c r="CF23" i="1"/>
  <c r="CE23" i="1"/>
  <c r="CD23" i="1"/>
  <c r="CC23" i="1"/>
  <c r="CB23" i="1"/>
  <c r="CI22" i="1"/>
  <c r="CH22" i="1"/>
  <c r="CG22" i="1"/>
  <c r="CF22" i="1"/>
  <c r="CE22" i="1"/>
  <c r="CD22" i="1"/>
  <c r="CC22" i="1"/>
  <c r="CB22" i="1"/>
  <c r="CB19" i="1"/>
  <c r="CK19" i="1" s="1"/>
  <c r="CB17" i="1"/>
  <c r="E9" i="6" l="1"/>
  <c r="J14" i="6"/>
  <c r="E19" i="6"/>
  <c r="E18" i="6"/>
  <c r="E9" i="5"/>
  <c r="D16" i="3"/>
  <c r="D18" i="3" s="1"/>
  <c r="E24" i="3" s="1"/>
  <c r="D25" i="3"/>
  <c r="I14" i="3" s="1"/>
  <c r="J14" i="3" s="1"/>
  <c r="J18" i="3" s="1"/>
  <c r="E9" i="3"/>
  <c r="L19" i="5"/>
  <c r="L16" i="6" s="1"/>
  <c r="I15" i="6"/>
  <c r="J15" i="6" s="1"/>
  <c r="C7" i="4"/>
  <c r="I18" i="3"/>
  <c r="M20" i="4"/>
  <c r="I9" i="4" s="1"/>
  <c r="J9" i="4" s="1"/>
  <c r="I14" i="5"/>
  <c r="C11" i="5"/>
  <c r="E11" i="5" s="1"/>
  <c r="C15" i="4"/>
  <c r="E15" i="4" s="1"/>
  <c r="E10" i="4"/>
  <c r="I16" i="5"/>
  <c r="M15" i="4"/>
  <c r="I10" i="3"/>
  <c r="J10" i="3" s="1"/>
  <c r="C15" i="5"/>
  <c r="E15" i="5" s="1"/>
  <c r="I14" i="4"/>
  <c r="M16" i="4"/>
  <c r="D25" i="4" s="1"/>
  <c r="J13" i="5"/>
  <c r="I17" i="6"/>
  <c r="D17" i="4"/>
  <c r="D19" i="4" s="1"/>
  <c r="E26" i="4" s="1"/>
  <c r="E9" i="4"/>
  <c r="I16" i="4"/>
  <c r="D16" i="5"/>
  <c r="D18" i="5" s="1"/>
  <c r="E24" i="5" s="1"/>
  <c r="C36" i="2"/>
  <c r="I16" i="3"/>
  <c r="C13" i="4"/>
  <c r="J14" i="5" l="1"/>
  <c r="C7" i="5"/>
  <c r="E7" i="5" s="1"/>
  <c r="E7" i="4"/>
  <c r="E25" i="3"/>
  <c r="G19" i="6"/>
  <c r="C15" i="3"/>
  <c r="E15" i="3" s="1"/>
  <c r="I10" i="4"/>
  <c r="J10" i="4" s="1"/>
  <c r="M14" i="5"/>
  <c r="I10" i="5" s="1"/>
  <c r="M9" i="6" s="1"/>
  <c r="I10" i="6" s="1"/>
  <c r="C14" i="5"/>
  <c r="E14" i="5" s="1"/>
  <c r="C6" i="3"/>
  <c r="C10" i="5"/>
  <c r="E10" i="5" s="1"/>
  <c r="C10" i="6"/>
  <c r="E10" i="6" s="1"/>
  <c r="C13" i="5"/>
  <c r="E13" i="5" s="1"/>
  <c r="C8" i="6"/>
  <c r="E8" i="6" s="1"/>
  <c r="C10" i="3"/>
  <c r="E10" i="3" s="1"/>
  <c r="C7" i="6"/>
  <c r="C13" i="3"/>
  <c r="E13" i="3" s="1"/>
  <c r="C14" i="4"/>
  <c r="C16" i="4"/>
  <c r="C6" i="4"/>
  <c r="E6" i="4" s="1"/>
  <c r="I13" i="4"/>
  <c r="E25" i="4"/>
  <c r="J14" i="4"/>
  <c r="C11" i="3"/>
  <c r="E11" i="3" s="1"/>
  <c r="E25" i="5"/>
  <c r="E13" i="4"/>
  <c r="C6" i="5"/>
  <c r="M19" i="5"/>
  <c r="I18" i="4"/>
  <c r="C7" i="3"/>
  <c r="E7" i="3" s="1"/>
  <c r="C14" i="3"/>
  <c r="E14" i="3" s="1"/>
  <c r="I9" i="5" l="1"/>
  <c r="J9" i="5" s="1"/>
  <c r="M16" i="6"/>
  <c r="J10" i="5"/>
  <c r="J11" i="5" s="1"/>
  <c r="J15" i="5" s="1"/>
  <c r="J13" i="4"/>
  <c r="J18" i="4" s="1"/>
  <c r="C16" i="5"/>
  <c r="E6" i="5"/>
  <c r="E16" i="5" s="1"/>
  <c r="E14" i="4"/>
  <c r="C16" i="3"/>
  <c r="E6" i="3"/>
  <c r="E16" i="3" s="1"/>
  <c r="C11" i="4"/>
  <c r="E11" i="4" s="1"/>
  <c r="C11" i="6"/>
  <c r="E7" i="6"/>
  <c r="E11" i="6" s="1"/>
  <c r="I18" i="5"/>
  <c r="J18" i="5" s="1"/>
  <c r="E16" i="4"/>
  <c r="I19" i="6" l="1"/>
  <c r="J19" i="6" s="1"/>
  <c r="I9" i="6"/>
  <c r="J9" i="6" s="1"/>
  <c r="J11" i="6" s="1"/>
  <c r="J16" i="6" s="1"/>
  <c r="J17" i="6" s="1"/>
  <c r="J16" i="5"/>
  <c r="J17" i="5" s="1"/>
  <c r="J19" i="5" s="1"/>
  <c r="J11" i="4"/>
  <c r="J15" i="4" s="1"/>
  <c r="E17" i="4"/>
  <c r="E19" i="4" s="1"/>
  <c r="E18" i="3"/>
  <c r="E20" i="3"/>
  <c r="E13" i="6"/>
  <c r="E15" i="6" s="1"/>
  <c r="E20" i="6" s="1"/>
  <c r="J10" i="6"/>
  <c r="E20" i="5"/>
  <c r="E18" i="5"/>
  <c r="J11" i="3" l="1"/>
  <c r="J15" i="3" s="1"/>
  <c r="E21" i="4"/>
  <c r="E23" i="4" s="1"/>
  <c r="E27" i="4" s="1"/>
  <c r="E29" i="4" s="1"/>
  <c r="E30" i="4" s="1"/>
  <c r="E31" i="4" s="1"/>
  <c r="E32" i="4" s="1"/>
  <c r="E33" i="4" s="1"/>
  <c r="E34" i="4" s="1"/>
  <c r="J18" i="6"/>
  <c r="E23" i="6"/>
  <c r="E24" i="6" s="1"/>
  <c r="E25" i="6" s="1"/>
  <c r="E26" i="6" s="1"/>
  <c r="E22" i="6"/>
  <c r="J16" i="4"/>
  <c r="J17" i="4" s="1"/>
  <c r="E22" i="3"/>
  <c r="E26" i="3" s="1"/>
  <c r="E28" i="3" s="1"/>
  <c r="E29" i="3" s="1"/>
  <c r="E30" i="3" s="1"/>
  <c r="E31" i="3" s="1"/>
  <c r="E32" i="3" s="1"/>
  <c r="E33" i="3" s="1"/>
  <c r="E22" i="5"/>
  <c r="E26" i="5" s="1"/>
  <c r="E28" i="5" s="1"/>
  <c r="E29" i="5" s="1"/>
  <c r="E30" i="5" s="1"/>
  <c r="E31" i="5" s="1"/>
  <c r="E32" i="5" s="1"/>
  <c r="E33" i="5" s="1"/>
  <c r="J20" i="5" l="1"/>
  <c r="J21" i="5" s="1"/>
  <c r="J16" i="3"/>
  <c r="J17" i="3" s="1"/>
  <c r="J20" i="6"/>
  <c r="J21" i="6" s="1"/>
  <c r="J22" i="6" s="1"/>
  <c r="J19" i="4"/>
  <c r="J20" i="4" l="1"/>
  <c r="J21" i="4" s="1"/>
  <c r="J19" i="3"/>
  <c r="J20" i="3" s="1"/>
  <c r="J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</authors>
  <commentList>
    <comment ref="Q18" authorId="0" shapeId="0" xr:uid="{A907DC9B-011F-48B4-AC8B-E4BE4E39AE76}">
      <text>
        <r>
          <rPr>
            <b/>
            <sz val="9"/>
            <color indexed="81"/>
            <rFont val="Tahoma"/>
            <charset val="1"/>
          </rPr>
          <t>Solimini, Kara (EHS):</t>
        </r>
        <r>
          <rPr>
            <sz val="9"/>
            <color indexed="81"/>
            <rFont val="Tahoma"/>
            <charset val="1"/>
          </rPr>
          <t xml:space="preserve">
this is $2406.55 per FTE and rolled into Prm exp in model</t>
        </r>
      </text>
    </comment>
  </commentList>
</comments>
</file>

<file path=xl/sharedStrings.xml><?xml version="1.0" encoding="utf-8"?>
<sst xmlns="http://schemas.openxmlformats.org/spreadsheetml/2006/main" count="616" uniqueCount="342">
  <si>
    <t>Massachusetts Economic Indicators</t>
  </si>
  <si>
    <t>IHS Markit, Fall 2022 Forecast</t>
  </si>
  <si>
    <t>Prepared by Michael Lynch, 781-301-9129</t>
  </si>
  <si>
    <t>jan</t>
  </si>
  <si>
    <t>mar</t>
  </si>
  <si>
    <t>july</t>
  </si>
  <si>
    <t>sept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</si>
  <si>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</si>
  <si>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</si>
  <si>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</si>
  <si>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</si>
  <si>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</si>
  <si>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</si>
  <si>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</si>
  <si>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</si>
  <si>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</si>
  <si>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</si>
  <si>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</si>
  <si>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</si>
  <si>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</si>
  <si>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</si>
  <si>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</si>
  <si>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</si>
  <si>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</si>
  <si>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</si>
  <si>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</si>
  <si>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</si>
  <si>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</si>
  <si>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</si>
  <si>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</si>
  <si>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</si>
  <si>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</si>
  <si>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</si>
  <si>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</si>
  <si>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</si>
  <si>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</si>
  <si>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</si>
  <si>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</si>
  <si>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</si>
  <si>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</si>
  <si>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</si>
  <si>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</si>
  <si>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</si>
  <si>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</si>
  <si>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</si>
  <si>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</si>
  <si>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</si>
  <si>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</si>
  <si>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</si>
  <si>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</si>
  <si>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</si>
  <si>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</si>
  <si>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</si>
  <si>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</si>
  <si>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</si>
  <si>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</si>
  <si>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</si>
  <si>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</si>
  <si>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</si>
  <si>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</si>
  <si>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</si>
  <si>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</si>
  <si>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</si>
  <si>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</si>
  <si>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</si>
  <si>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</si>
  <si>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</si>
  <si>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</si>
  <si>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</si>
  <si>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</si>
  <si>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</si>
  <si>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</si>
  <si>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</si>
  <si>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</si>
  <si>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</si>
  <si>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</si>
  <si>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</si>
  <si>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</si>
  <si>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</si>
  <si>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</si>
  <si>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</si>
  <si>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</si>
  <si>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</si>
  <si>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</si>
  <si>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</si>
  <si>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</si>
  <si>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</si>
  <si>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</si>
  <si>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</si>
  <si>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</si>
  <si>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</si>
  <si>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</si>
  <si>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</si>
  <si>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</si>
  <si>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</si>
  <si>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</si>
  <si>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</si>
  <si>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</si>
  <si>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</si>
  <si>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</si>
  <si>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</si>
  <si>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</si>
  <si>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</si>
  <si>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</si>
  <si>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</si>
  <si>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</si>
  <si>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</si>
  <si>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</si>
  <si>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</si>
  <si>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</si>
  <si>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</si>
  <si>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</si>
  <si>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</si>
  <si>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</si>
  <si>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</si>
  <si>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</si>
  <si>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2023</t>
  </si>
  <si>
    <t xml:space="preserve">Base period: </t>
  </si>
  <si>
    <t>FY23Q4</t>
  </si>
  <si>
    <t>Average</t>
  </si>
  <si>
    <t xml:space="preserve">Prospective rate period: </t>
  </si>
  <si>
    <t>July 1, 2023 - June 30, 2025</t>
  </si>
  <si>
    <t>CAF:</t>
  </si>
  <si>
    <t>Source:</t>
  </si>
  <si>
    <t>BLS / OES</t>
  </si>
  <si>
    <t>Position</t>
  </si>
  <si>
    <t>53 Percentile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</si>
  <si>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</si>
  <si>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</si>
  <si>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</si>
  <si>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</si>
  <si>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</si>
  <si>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</si>
  <si>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</si>
  <si>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</si>
  <si>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</si>
  <si>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</si>
  <si>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</si>
  <si>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</si>
  <si>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</si>
  <si>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</si>
  <si>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</si>
  <si>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</si>
  <si>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</si>
  <si>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</si>
  <si>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</si>
  <si>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</si>
  <si>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</si>
  <si>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</si>
  <si>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</si>
  <si>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</si>
  <si>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</si>
  <si>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</si>
  <si>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</si>
  <si>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</si>
  <si>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</si>
  <si>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</si>
  <si>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</si>
  <si>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</si>
  <si>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</si>
  <si>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</si>
  <si>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Assistant Manager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</si>
  <si>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</si>
  <si>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</si>
  <si>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</si>
  <si>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</si>
  <si>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</si>
  <si>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</si>
  <si>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</si>
  <si>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</si>
  <si>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</si>
  <si>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</si>
  <si>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</si>
  <si>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</si>
  <si>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</si>
  <si>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</si>
  <si>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</si>
  <si>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</si>
  <si>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</si>
  <si>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</si>
  <si>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</si>
  <si>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</si>
  <si>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</si>
  <si>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</si>
  <si>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</si>
  <si>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</si>
  <si>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</si>
  <si>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</si>
  <si>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</si>
  <si>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</si>
  <si>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</si>
  <si>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</si>
  <si>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</si>
  <si>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</si>
  <si>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</si>
  <si>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</si>
  <si>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</si>
  <si>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</si>
  <si>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</si>
  <si>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</si>
  <si>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</si>
  <si>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</si>
  <si>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</si>
  <si>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</si>
  <si>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</si>
  <si>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</si>
  <si>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C.257 Benchmark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</si>
  <si>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</si>
  <si>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</si>
  <si>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</si>
  <si>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</si>
  <si>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</si>
  <si>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</si>
  <si>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</si>
  <si>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>PACT 50 Model Proposed at Public Hearing</t>
  </si>
  <si>
    <t>Persons Served:</t>
  </si>
  <si>
    <t>Enrollment Days:</t>
  </si>
  <si>
    <t>Source</t>
  </si>
  <si>
    <t>Salary</t>
  </si>
  <si>
    <t>FTE</t>
  </si>
  <si>
    <t>Expense</t>
  </si>
  <si>
    <t>Team Leader (LPHA)</t>
  </si>
  <si>
    <t>Management</t>
  </si>
  <si>
    <t>Program Functional Manager</t>
  </si>
  <si>
    <t xml:space="preserve">Registered Nurse (RN) </t>
  </si>
  <si>
    <t>Clinical</t>
  </si>
  <si>
    <t>Direct Care III (Bachelors)</t>
  </si>
  <si>
    <t>Clinician (LPHA, Masters)</t>
  </si>
  <si>
    <t>Direct Care</t>
  </si>
  <si>
    <t>Clinician (Masters)</t>
  </si>
  <si>
    <t>Program Support (Admin)</t>
  </si>
  <si>
    <t>Peer Support Specialist</t>
  </si>
  <si>
    <t>Benchmark FTEs</t>
  </si>
  <si>
    <t>DC Staff (Bachelors)</t>
  </si>
  <si>
    <t>Purchaser Recommendation</t>
  </si>
  <si>
    <t>Total Program Staff</t>
  </si>
  <si>
    <t>Sub-Total Staff</t>
  </si>
  <si>
    <t>Taxes and Fringe</t>
  </si>
  <si>
    <t xml:space="preserve">Total Staffing Costs </t>
  </si>
  <si>
    <t>Unit Cost</t>
  </si>
  <si>
    <t xml:space="preserve"> Benchmark Expenses</t>
  </si>
  <si>
    <t>Taxes &amp; Fringe</t>
  </si>
  <si>
    <t>FY21 Benchmark</t>
  </si>
  <si>
    <t>Occupancy (per FTE)</t>
  </si>
  <si>
    <t>FY21 UFR Data</t>
  </si>
  <si>
    <t>Total Reimbursable Exp. Excl. Admin.</t>
  </si>
  <si>
    <t>Admin. Alloc. (M&amp;G)</t>
  </si>
  <si>
    <t>Admin. Alloc. (M &amp; G)</t>
  </si>
  <si>
    <t>Total Amount</t>
  </si>
  <si>
    <t>Total Reimbursable Exp.</t>
  </si>
  <si>
    <t>Utilization Rate</t>
  </si>
  <si>
    <t>CAF</t>
  </si>
  <si>
    <t>Total Annual Amount</t>
  </si>
  <si>
    <t>Annual Total</t>
  </si>
  <si>
    <t>RATE:</t>
  </si>
  <si>
    <t xml:space="preserve">CAF FY24  </t>
  </si>
  <si>
    <t>Prospective Period FY24 &amp; FY25</t>
  </si>
  <si>
    <t>Utilization Rate:</t>
  </si>
  <si>
    <t>PACT 80 Model Proposed at Public Hearing</t>
  </si>
  <si>
    <t>Clinician (LPHA)</t>
  </si>
  <si>
    <t xml:space="preserve">Resource Specialist </t>
  </si>
  <si>
    <t>Forensic PACT Model - Proposed at Public Hearing</t>
  </si>
  <si>
    <t>Forensic Pact</t>
  </si>
  <si>
    <t>Registered Nurse (RN)</t>
  </si>
  <si>
    <t>Direct Care (Bachelors)</t>
  </si>
  <si>
    <t>clinician (LPHA)</t>
  </si>
  <si>
    <t xml:space="preserve">Annual Amount </t>
  </si>
  <si>
    <t xml:space="preserve">Rate  </t>
  </si>
  <si>
    <t>PACT Forensic GLE Proposed at Public Hearing</t>
  </si>
  <si>
    <t xml:space="preserve">Capacity: </t>
  </si>
  <si>
    <t>Bed Days:</t>
  </si>
  <si>
    <t>Management Supervision</t>
  </si>
  <si>
    <t>Site Manager</t>
  </si>
  <si>
    <t xml:space="preserve">Direct Care   </t>
  </si>
  <si>
    <t>Relief</t>
  </si>
  <si>
    <t>DC Blended (DC I + II)</t>
  </si>
  <si>
    <t>101 CMR 421.00: Rates for Adult Housing and Community Support Services</t>
  </si>
  <si>
    <t>Tax and Fringe</t>
  </si>
  <si>
    <t>Benchmark Expenses</t>
  </si>
  <si>
    <t>Total Compensation</t>
  </si>
  <si>
    <t>Transporation (Van)</t>
  </si>
  <si>
    <t>Benchmarked to 101 CMR 420</t>
  </si>
  <si>
    <t>FY21 UFR data for program @40%</t>
  </si>
  <si>
    <t>Meals (per bed day)</t>
  </si>
  <si>
    <t>Total Reimb excl M&amp;G</t>
  </si>
  <si>
    <t>Admin. Allocation</t>
  </si>
  <si>
    <t>TOTAL</t>
  </si>
  <si>
    <r>
      <rPr>
        <b/>
        <sz val="12"/>
        <color rgb="FFFF0000"/>
        <rFont val="Calibri"/>
        <family val="2"/>
        <scheme val="minor"/>
      </rPr>
      <t xml:space="preserve">DEPARTMENTAL RATE </t>
    </r>
    <r>
      <rPr>
        <b/>
        <sz val="12"/>
        <rFont val="Calibri"/>
        <family val="2"/>
        <scheme val="minor"/>
      </rPr>
      <t xml:space="preserve">for PACT YOUTH -  </t>
    </r>
    <r>
      <rPr>
        <b/>
        <sz val="12"/>
        <color rgb="FFFF0000"/>
        <rFont val="Calibri"/>
        <family val="2"/>
        <scheme val="minor"/>
      </rPr>
      <t>6 slots</t>
    </r>
  </si>
  <si>
    <t>Slots:</t>
  </si>
  <si>
    <t>Total Slots</t>
  </si>
  <si>
    <t>Months</t>
  </si>
  <si>
    <t xml:space="preserve">    Program Management (LICSW)</t>
  </si>
  <si>
    <t>BLS M2021 Benchmark</t>
  </si>
  <si>
    <t xml:space="preserve">   Asst Program Management (LICSW)</t>
  </si>
  <si>
    <t xml:space="preserve">    Psychiatrist / APRN</t>
  </si>
  <si>
    <t>BLS M2021 Benchmark 50/50 Blend
Psych $247,150 APRN $128,170</t>
  </si>
  <si>
    <t xml:space="preserve">    Registered Nurse</t>
  </si>
  <si>
    <t xml:space="preserve">    Occupational Therapist </t>
  </si>
  <si>
    <t xml:space="preserve"> </t>
  </si>
  <si>
    <t xml:space="preserve">    Clinician (MA Level)</t>
  </si>
  <si>
    <t xml:space="preserve">    Outreach Staff / Family Partner</t>
  </si>
  <si>
    <t>Education Specialist</t>
  </si>
  <si>
    <t xml:space="preserve">    Family Partner</t>
  </si>
  <si>
    <t>BLS Average DC and DCIII</t>
  </si>
  <si>
    <t xml:space="preserve">    Education Specialist</t>
  </si>
  <si>
    <t>M2021 Occ Code 25-2058</t>
  </si>
  <si>
    <t xml:space="preserve">    Young Adult Peer Mentor </t>
  </si>
  <si>
    <t>BLS M2021 Benchmark (Direct Care)</t>
  </si>
  <si>
    <t xml:space="preserve">    Support Staff / Prg Assistant</t>
  </si>
  <si>
    <t>Expenses</t>
  </si>
  <si>
    <t xml:space="preserve">Benchmark Expenses </t>
  </si>
  <si>
    <t>FY24 C.257 Benchmark</t>
  </si>
  <si>
    <t>Occupancy</t>
  </si>
  <si>
    <t>Benchmarked to IHBTC in 101 CMR 413</t>
  </si>
  <si>
    <t>All Programmatic Expenses</t>
  </si>
  <si>
    <t>All Program Expenses</t>
  </si>
  <si>
    <t>Other Expenses</t>
  </si>
  <si>
    <t>Daily Slot rate</t>
  </si>
  <si>
    <t xml:space="preserve">Daily Slot rate w/ Utilization </t>
  </si>
  <si>
    <t>Monthly Accommodation Rate</t>
  </si>
  <si>
    <t>Clinical / Nursing / Medical</t>
  </si>
  <si>
    <t>Direct Service workers and Support Staff</t>
  </si>
  <si>
    <t>CAF on Compensation</t>
  </si>
  <si>
    <t>Clinical with Independent Lic</t>
  </si>
  <si>
    <t>CAF on Prg Expenses</t>
  </si>
  <si>
    <t>Clinical / Nursing/ Medical</t>
  </si>
  <si>
    <t>Direct Service Worker and Support Staff</t>
  </si>
  <si>
    <t>FY21 UFR data for program @90%</t>
  </si>
  <si>
    <t>Other Program Expenses (per FTE)</t>
  </si>
  <si>
    <t>Direct Service Worker and Relief Staff</t>
  </si>
  <si>
    <t>CAF for Compensation</t>
  </si>
  <si>
    <t>Occupancy (per bed day)</t>
  </si>
  <si>
    <t>M2021 BLS Occ Code 25-2058</t>
  </si>
  <si>
    <t xml:space="preserve">PACT 50 Model </t>
  </si>
  <si>
    <t xml:space="preserve">PACT 80 Model </t>
  </si>
  <si>
    <t xml:space="preserve">Forensic PACT Model </t>
  </si>
  <si>
    <t>Master Data Look-Up Table</t>
  </si>
  <si>
    <t xml:space="preserve">Master Data Look-Up Table </t>
  </si>
  <si>
    <t>PACT Forensic GLE</t>
  </si>
  <si>
    <t xml:space="preserve">Master Data  Look-Up Table </t>
  </si>
  <si>
    <t>PACT YOUTH - 20 slots</t>
  </si>
  <si>
    <t>Master Lookup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</si>
</sst>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[$-409]mmmm\ d\,\ yyyy;@"/>
    <numFmt numFmtId="167" formatCode="&quot;$&quot;#,##0.00"/>
    <numFmt numFmtId="168" formatCode="&quot;$&quot;#,##0"/>
    <numFmt numFmtId="169" formatCode="_(&quot;$&quot;* #,##0_);_(&quot;$&quot;* \(#,##0\);_(&quot;$&quot;* &quot;-&quot;??_);_(@_)"/>
    <numFmt numFmtId="170" formatCode="\$#,##0.00"/>
    <numFmt numFmtId="171" formatCode="_(&quot;$&quot;* #,##0.0_);_(&quot;$&quot;* \(#,##0.0\);_(&quot;$&quot;* &quot;-&quot;??_);_(@_)"/>
    <numFmt numFmtId="172" formatCode="&quot;$&quot;#,##0.0000_);[Red]\(&quot;$&quot;#,##0.0000\)"/>
    <numFmt numFmtId="173" formatCode="\$#,##0"/>
    <numFmt numFmtId="174" formatCode="_(&quot;$&quot;* #,##0.00_);_(&quot;$&quot;* \(#,##0.00\);_(&quot;$&quot;* &quot;-&quot;_);_(@_)"/>
    <numFmt numFmtId="175" formatCode="_(* #,##0_);_(* \(#,##0\);_(* &quot;-&quot;??_);_(@_)"/>
    <numFmt numFmtId="176" formatCode="#,##0.000"/>
    <numFmt numFmtId="177" formatCode="0.0%"/>
    <numFmt numFmtId="178" formatCode="0.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7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sz val="10"/>
      <color rgb="FFFF0000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8000"/>
      <name val="Calibri"/>
      <family val="2"/>
      <scheme val="minor"/>
    </font>
    <font>
      <sz val="10"/>
      <name val="Verdana"/>
      <family val="2"/>
    </font>
    <font>
      <sz val="10"/>
      <color indexed="30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9"/>
      <color indexed="81"/>
      <name val="Tahoma"/>
      <charset val="1"/>
    </font>
    <font>
      <i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0"/>
      <name val="Arial"/>
    </font>
    <font>
      <b/>
      <u/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>
      <alignment horizontal="left" vertical="center" wrapText="1"/>
    </xf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0" borderId="0"/>
    <xf numFmtId="9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</cellStyleXfs>
  <cellXfs count="663">
    <xf numFmtId="0" fontId="0" fillId="0" borderId="0" xfId="0"/>
    <xf numFmtId="0" fontId="3" fillId="0" borderId="0" xfId="4"/>
    <xf numFmtId="0" fontId="5" fillId="2" borderId="0" xfId="4" applyFont="1" applyFill="1"/>
    <xf numFmtId="0" fontId="6" fillId="2" borderId="3" xfId="4" applyFont="1" applyFill="1" applyBorder="1"/>
    <xf numFmtId="0" fontId="7" fillId="2" borderId="4" xfId="4" applyFont="1" applyFill="1" applyBorder="1"/>
    <xf numFmtId="0" fontId="6" fillId="2" borderId="5" xfId="4" applyFont="1" applyFill="1" applyBorder="1"/>
    <xf numFmtId="0" fontId="6" fillId="0" borderId="0" xfId="4" applyFont="1"/>
    <xf numFmtId="0" fontId="8" fillId="3" borderId="0" xfId="5" applyFont="1" applyFill="1"/>
    <xf numFmtId="0" fontId="8" fillId="4" borderId="0" xfId="5" applyFont="1" applyFill="1"/>
    <xf numFmtId="0" fontId="8" fillId="5" borderId="0" xfId="5" applyFont="1" applyFill="1"/>
    <xf numFmtId="0" fontId="8" fillId="6" borderId="0" xfId="4" applyFont="1" applyFill="1" applyAlignment="1">
      <alignment horizontal="center"/>
    </xf>
    <xf numFmtId="0" fontId="8" fillId="7" borderId="0" xfId="4" applyFont="1" applyFill="1" applyAlignment="1">
      <alignment horizontal="center"/>
    </xf>
    <xf numFmtId="14" fontId="6" fillId="0" borderId="0" xfId="4" applyNumberFormat="1" applyFont="1"/>
    <xf numFmtId="164" fontId="3" fillId="0" borderId="0" xfId="4" applyNumberFormat="1"/>
    <xf numFmtId="2" fontId="3" fillId="0" borderId="0" xfId="4" applyNumberFormat="1"/>
    <xf numFmtId="0" fontId="6" fillId="0" borderId="0" xfId="6" applyFont="1" applyAlignment="1"/>
    <xf numFmtId="0" fontId="9" fillId="0" borderId="0" xfId="6" applyAlignment="1"/>
    <xf numFmtId="0" fontId="10" fillId="0" borderId="0" xfId="6" applyFont="1" applyAlignment="1"/>
    <xf numFmtId="0" fontId="11" fillId="0" borderId="0" xfId="6" applyFont="1" applyAlignment="1"/>
    <xf numFmtId="0" fontId="9" fillId="0" borderId="6" xfId="6" applyBorder="1" applyAlignment="1"/>
    <xf numFmtId="0" fontId="9" fillId="0" borderId="7" xfId="6" applyBorder="1" applyAlignment="1"/>
    <xf numFmtId="0" fontId="9" fillId="0" borderId="8" xfId="6" applyBorder="1" applyAlignment="1"/>
    <xf numFmtId="165" fontId="3" fillId="0" borderId="0" xfId="4" applyNumberFormat="1"/>
    <xf numFmtId="0" fontId="9" fillId="0" borderId="9" xfId="6" applyBorder="1" applyAlignment="1"/>
    <xf numFmtId="0" fontId="9" fillId="0" borderId="0" xfId="6" applyAlignment="1">
      <alignment horizontal="right"/>
    </xf>
    <xf numFmtId="0" fontId="6" fillId="0" borderId="0" xfId="6" applyFont="1" applyAlignment="1">
      <alignment horizontal="center"/>
    </xf>
    <xf numFmtId="0" fontId="9" fillId="0" borderId="10" xfId="6" applyBorder="1" applyAlignment="1"/>
    <xf numFmtId="14" fontId="6" fillId="0" borderId="0" xfId="4" applyNumberFormat="1" applyFont="1" applyAlignment="1">
      <alignment horizontal="center"/>
    </xf>
    <xf numFmtId="0" fontId="12" fillId="0" borderId="10" xfId="6" applyFont="1" applyBorder="1" applyAlignment="1">
      <alignment horizontal="center"/>
    </xf>
    <xf numFmtId="164" fontId="3" fillId="0" borderId="11" xfId="4" applyNumberFormat="1" applyBorder="1"/>
    <xf numFmtId="0" fontId="9" fillId="0" borderId="12" xfId="6" applyBorder="1" applyAlignment="1"/>
    <xf numFmtId="164" fontId="9" fillId="0" borderId="10" xfId="6" applyNumberFormat="1" applyBorder="1" applyAlignment="1">
      <alignment horizontal="center"/>
    </xf>
    <xf numFmtId="0" fontId="9" fillId="0" borderId="10" xfId="6" applyBorder="1" applyAlignment="1">
      <alignment horizontal="center"/>
    </xf>
    <xf numFmtId="0" fontId="9" fillId="0" borderId="9" xfId="6" applyBorder="1" applyAlignment="1">
      <alignment horizontal="right"/>
    </xf>
    <xf numFmtId="164" fontId="6" fillId="0" borderId="0" xfId="4" applyNumberFormat="1" applyFont="1" applyAlignment="1">
      <alignment horizontal="center"/>
    </xf>
    <xf numFmtId="164" fontId="3" fillId="0" borderId="13" xfId="4" applyNumberFormat="1" applyBorder="1"/>
    <xf numFmtId="0" fontId="6" fillId="8" borderId="0" xfId="6" applyFont="1" applyFill="1" applyAlignment="1">
      <alignment horizontal="right"/>
    </xf>
    <xf numFmtId="10" fontId="6" fillId="8" borderId="10" xfId="7" applyNumberFormat="1" applyFont="1" applyFill="1" applyBorder="1" applyAlignment="1">
      <alignment horizontal="center"/>
    </xf>
    <xf numFmtId="0" fontId="9" fillId="0" borderId="14" xfId="6" applyBorder="1" applyAlignment="1"/>
    <xf numFmtId="0" fontId="9" fillId="0" borderId="15" xfId="6" applyBorder="1" applyAlignment="1"/>
    <xf numFmtId="0" fontId="9" fillId="0" borderId="16" xfId="6" applyBorder="1" applyAlignment="1"/>
    <xf numFmtId="0" fontId="13" fillId="0" borderId="0" xfId="8" applyFont="1"/>
    <xf numFmtId="0" fontId="14" fillId="0" borderId="0" xfId="8" applyFont="1" applyAlignment="1">
      <alignment horizontal="center"/>
    </xf>
    <xf numFmtId="0" fontId="13" fillId="0" borderId="0" xfId="8" applyFont="1" applyAlignment="1">
      <alignment wrapText="1"/>
    </xf>
    <xf numFmtId="17" fontId="15" fillId="0" borderId="0" xfId="8" applyNumberFormat="1" applyFont="1" applyAlignment="1">
      <alignment horizontal="center"/>
    </xf>
    <xf numFmtId="166" fontId="16" fillId="0" borderId="0" xfId="8" applyNumberFormat="1" applyFont="1" applyAlignment="1">
      <alignment horizontal="left" vertical="top"/>
    </xf>
    <xf numFmtId="0" fontId="16" fillId="0" borderId="0" xfId="8" applyFont="1" applyAlignment="1">
      <alignment horizontal="center"/>
    </xf>
    <xf numFmtId="0" fontId="16" fillId="0" borderId="0" xfId="8" applyFont="1"/>
    <xf numFmtId="9" fontId="16" fillId="0" borderId="0" xfId="8" applyNumberFormat="1" applyFont="1" applyAlignment="1">
      <alignment horizontal="center" wrapText="1"/>
    </xf>
    <xf numFmtId="0" fontId="16" fillId="0" borderId="0" xfId="8" applyFont="1" applyAlignment="1">
      <alignment horizontal="left" wrapText="1"/>
    </xf>
    <xf numFmtId="0" fontId="13" fillId="0" borderId="17" xfId="8" applyFont="1" applyBorder="1"/>
    <xf numFmtId="167" fontId="13" fillId="0" borderId="18" xfId="8" applyNumberFormat="1" applyFont="1" applyBorder="1" applyAlignment="1">
      <alignment horizontal="center"/>
    </xf>
    <xf numFmtId="0" fontId="13" fillId="0" borderId="19" xfId="8" applyFont="1" applyBorder="1"/>
    <xf numFmtId="168" fontId="13" fillId="0" borderId="4" xfId="8" applyNumberFormat="1" applyFont="1" applyBorder="1" applyAlignment="1">
      <alignment horizontal="center"/>
    </xf>
    <xf numFmtId="0" fontId="13" fillId="0" borderId="1" xfId="8" applyFont="1" applyBorder="1"/>
    <xf numFmtId="0" fontId="13" fillId="0" borderId="20" xfId="8" applyFont="1" applyBorder="1"/>
    <xf numFmtId="168" fontId="13" fillId="0" borderId="0" xfId="8" applyNumberFormat="1" applyFont="1" applyAlignment="1">
      <alignment horizontal="center"/>
    </xf>
    <xf numFmtId="0" fontId="13" fillId="0" borderId="4" xfId="8" applyFont="1" applyBorder="1"/>
    <xf numFmtId="0" fontId="13" fillId="0" borderId="17" xfId="8" applyFont="1" applyBorder="1" applyAlignment="1">
      <alignment wrapText="1"/>
    </xf>
    <xf numFmtId="0" fontId="13" fillId="0" borderId="19" xfId="8" applyFont="1" applyBorder="1" applyAlignment="1">
      <alignment wrapText="1"/>
    </xf>
    <xf numFmtId="167" fontId="13" fillId="0" borderId="1" xfId="8" applyNumberFormat="1" applyFont="1" applyBorder="1" applyAlignment="1">
      <alignment horizontal="center"/>
    </xf>
    <xf numFmtId="167" fontId="13" fillId="0" borderId="0" xfId="8" applyNumberFormat="1" applyFont="1" applyAlignment="1">
      <alignment horizontal="center"/>
    </xf>
    <xf numFmtId="0" fontId="13" fillId="0" borderId="0" xfId="8" applyFont="1" applyAlignment="1">
      <alignment horizontal="right" wrapText="1"/>
    </xf>
    <xf numFmtId="0" fontId="13" fillId="0" borderId="0" xfId="8" applyFont="1" applyAlignment="1">
      <alignment horizontal="center"/>
    </xf>
    <xf numFmtId="0" fontId="13" fillId="0" borderId="0" xfId="8" applyFont="1" applyAlignment="1">
      <alignment horizontal="right"/>
    </xf>
    <xf numFmtId="10" fontId="13" fillId="0" borderId="0" xfId="9" applyNumberFormat="1" applyFont="1" applyAlignment="1">
      <alignment horizontal="center"/>
    </xf>
    <xf numFmtId="9" fontId="13" fillId="0" borderId="0" xfId="9" applyFont="1" applyAlignment="1">
      <alignment horizontal="center"/>
    </xf>
    <xf numFmtId="9" fontId="13" fillId="0" borderId="0" xfId="9" applyFont="1"/>
    <xf numFmtId="167" fontId="13" fillId="0" borderId="0" xfId="8" applyNumberFormat="1" applyFont="1"/>
    <xf numFmtId="168" fontId="13" fillId="0" borderId="0" xfId="8" applyNumberFormat="1" applyFont="1"/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19" fillId="9" borderId="19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9" fillId="9" borderId="4" xfId="0" applyFont="1" applyFill="1" applyBorder="1"/>
    <xf numFmtId="3" fontId="19" fillId="9" borderId="5" xfId="0" applyNumberFormat="1" applyFont="1" applyFill="1" applyBorder="1"/>
    <xf numFmtId="0" fontId="19" fillId="0" borderId="19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/>
    <xf numFmtId="3" fontId="19" fillId="0" borderId="5" xfId="0" applyNumberFormat="1" applyFont="1" applyBorder="1"/>
    <xf numFmtId="0" fontId="18" fillId="0" borderId="25" xfId="0" applyFont="1" applyBorder="1" applyAlignment="1">
      <alignment horizontal="center" vertical="center"/>
    </xf>
    <xf numFmtId="0" fontId="19" fillId="9" borderId="24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/>
    </xf>
    <xf numFmtId="0" fontId="17" fillId="9" borderId="18" xfId="0" applyFont="1" applyFill="1" applyBorder="1" applyAlignment="1">
      <alignment horizontal="center"/>
    </xf>
    <xf numFmtId="169" fontId="17" fillId="9" borderId="26" xfId="2" applyNumberFormat="1" applyFont="1" applyFill="1" applyBorder="1" applyAlignment="1">
      <alignment horizontal="center"/>
    </xf>
    <xf numFmtId="169" fontId="17" fillId="12" borderId="0" xfId="2" applyNumberFormat="1" applyFont="1" applyFill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7" fillId="12" borderId="1" xfId="0" applyFont="1" applyFill="1" applyBorder="1" applyAlignment="1">
      <alignment horizontal="center"/>
    </xf>
    <xf numFmtId="0" fontId="17" fillId="12" borderId="18" xfId="0" applyFont="1" applyFill="1" applyBorder="1" applyAlignment="1">
      <alignment horizontal="center"/>
    </xf>
    <xf numFmtId="169" fontId="17" fillId="12" borderId="26" xfId="2" applyNumberFormat="1" applyFont="1" applyFill="1" applyBorder="1" applyAlignment="1">
      <alignment horizontal="center"/>
    </xf>
    <xf numFmtId="0" fontId="20" fillId="12" borderId="20" xfId="0" applyFont="1" applyFill="1" applyBorder="1" applyAlignment="1">
      <alignment horizontal="left" vertical="top" wrapText="1" readingOrder="1"/>
    </xf>
    <xf numFmtId="0" fontId="17" fillId="12" borderId="3" xfId="0" applyFont="1" applyFill="1" applyBorder="1"/>
    <xf numFmtId="0" fontId="18" fillId="9" borderId="28" xfId="0" applyFont="1" applyFill="1" applyBorder="1" applyAlignment="1">
      <alignment vertical="top"/>
    </xf>
    <xf numFmtId="0" fontId="17" fillId="9" borderId="7" xfId="0" applyFont="1" applyFill="1" applyBorder="1"/>
    <xf numFmtId="0" fontId="17" fillId="9" borderId="0" xfId="0" applyFont="1" applyFill="1" applyAlignment="1">
      <alignment horizontal="center"/>
    </xf>
    <xf numFmtId="0" fontId="17" fillId="9" borderId="29" xfId="0" applyFont="1" applyFill="1" applyBorder="1"/>
    <xf numFmtId="0" fontId="17" fillId="0" borderId="7" xfId="0" applyFont="1" applyBorder="1"/>
    <xf numFmtId="0" fontId="17" fillId="0" borderId="0" xfId="0" applyFont="1" applyAlignment="1">
      <alignment horizontal="center"/>
    </xf>
    <xf numFmtId="0" fontId="20" fillId="9" borderId="20" xfId="0" applyFont="1" applyFill="1" applyBorder="1" applyAlignment="1">
      <alignment horizontal="left" vertical="top" wrapText="1" readingOrder="1"/>
    </xf>
    <xf numFmtId="42" fontId="22" fillId="9" borderId="0" xfId="0" applyNumberFormat="1" applyFont="1" applyFill="1" applyAlignment="1">
      <alignment vertical="top"/>
    </xf>
    <xf numFmtId="4" fontId="23" fillId="9" borderId="0" xfId="0" applyNumberFormat="1" applyFont="1" applyFill="1" applyAlignment="1">
      <alignment horizontal="center" vertical="top"/>
    </xf>
    <xf numFmtId="169" fontId="17" fillId="9" borderId="3" xfId="2" applyNumberFormat="1" applyFont="1" applyFill="1" applyBorder="1" applyAlignment="1">
      <alignment horizontal="center"/>
    </xf>
    <xf numFmtId="169" fontId="17" fillId="0" borderId="0" xfId="2" applyNumberFormat="1" applyFont="1" applyAlignment="1">
      <alignment horizontal="center"/>
    </xf>
    <xf numFmtId="0" fontId="20" fillId="0" borderId="20" xfId="0" applyFont="1" applyBorder="1" applyAlignment="1">
      <alignment horizontal="left" vertical="top" wrapText="1" readingOrder="1"/>
    </xf>
    <xf numFmtId="42" fontId="18" fillId="0" borderId="0" xfId="0" applyNumberFormat="1" applyFont="1" applyAlignment="1">
      <alignment vertical="top"/>
    </xf>
    <xf numFmtId="4" fontId="23" fillId="0" borderId="0" xfId="0" applyNumberFormat="1" applyFont="1" applyAlignment="1">
      <alignment horizontal="center" vertical="top"/>
    </xf>
    <xf numFmtId="169" fontId="17" fillId="0" borderId="3" xfId="2" applyNumberFormat="1" applyFont="1" applyBorder="1" applyAlignment="1">
      <alignment horizontal="center"/>
    </xf>
    <xf numFmtId="0" fontId="18" fillId="9" borderId="20" xfId="0" applyFont="1" applyFill="1" applyBorder="1" applyAlignment="1">
      <alignment vertical="top"/>
    </xf>
    <xf numFmtId="42" fontId="19" fillId="9" borderId="0" xfId="0" applyNumberFormat="1" applyFont="1" applyFill="1" applyAlignment="1">
      <alignment vertical="top"/>
    </xf>
    <xf numFmtId="169" fontId="17" fillId="9" borderId="3" xfId="2" applyNumberFormat="1" applyFont="1" applyFill="1" applyBorder="1" applyAlignment="1">
      <alignment horizontal="center" vertical="top"/>
    </xf>
    <xf numFmtId="169" fontId="17" fillId="0" borderId="0" xfId="2" applyNumberFormat="1" applyFont="1" applyAlignment="1">
      <alignment horizontal="center" vertical="top"/>
    </xf>
    <xf numFmtId="0" fontId="17" fillId="12" borderId="34" xfId="0" applyFont="1" applyFill="1" applyBorder="1"/>
    <xf numFmtId="2" fontId="18" fillId="0" borderId="27" xfId="0" applyNumberFormat="1" applyFont="1" applyBorder="1" applyAlignment="1">
      <alignment horizontal="center" vertical="top"/>
    </xf>
    <xf numFmtId="0" fontId="17" fillId="0" borderId="3" xfId="0" applyFont="1" applyBorder="1"/>
    <xf numFmtId="0" fontId="19" fillId="9" borderId="32" xfId="0" applyFont="1" applyFill="1" applyBorder="1"/>
    <xf numFmtId="169" fontId="17" fillId="9" borderId="35" xfId="0" applyNumberFormat="1" applyFont="1" applyFill="1" applyBorder="1" applyAlignment="1">
      <alignment horizontal="center"/>
    </xf>
    <xf numFmtId="0" fontId="17" fillId="9" borderId="35" xfId="0" applyFont="1" applyFill="1" applyBorder="1" applyAlignment="1">
      <alignment horizontal="center"/>
    </xf>
    <xf numFmtId="42" fontId="17" fillId="9" borderId="34" xfId="0" applyNumberFormat="1" applyFont="1" applyFill="1" applyBorder="1" applyAlignment="1">
      <alignment horizontal="center"/>
    </xf>
    <xf numFmtId="42" fontId="17" fillId="0" borderId="0" xfId="0" applyNumberFormat="1" applyFont="1" applyAlignment="1">
      <alignment horizontal="center"/>
    </xf>
    <xf numFmtId="0" fontId="17" fillId="9" borderId="20" xfId="0" applyFont="1" applyFill="1" applyBorder="1"/>
    <xf numFmtId="0" fontId="17" fillId="0" borderId="35" xfId="0" applyFont="1" applyBorder="1" applyAlignment="1">
      <alignment horizontal="center"/>
    </xf>
    <xf numFmtId="0" fontId="17" fillId="9" borderId="32" xfId="0" applyFont="1" applyFill="1" applyBorder="1"/>
    <xf numFmtId="0" fontId="17" fillId="9" borderId="35" xfId="0" applyFont="1" applyFill="1" applyBorder="1"/>
    <xf numFmtId="2" fontId="17" fillId="9" borderId="35" xfId="0" applyNumberFormat="1" applyFont="1" applyFill="1" applyBorder="1" applyAlignment="1">
      <alignment horizontal="center"/>
    </xf>
    <xf numFmtId="169" fontId="17" fillId="9" borderId="34" xfId="2" applyNumberFormat="1" applyFont="1" applyFill="1" applyBorder="1"/>
    <xf numFmtId="169" fontId="17" fillId="0" borderId="0" xfId="2" applyNumberFormat="1" applyFont="1"/>
    <xf numFmtId="0" fontId="17" fillId="0" borderId="32" xfId="0" applyFont="1" applyBorder="1"/>
    <xf numFmtId="0" fontId="17" fillId="9" borderId="0" xfId="0" applyFont="1" applyFill="1"/>
    <xf numFmtId="0" fontId="17" fillId="9" borderId="3" xfId="0" applyFont="1" applyFill="1" applyBorder="1"/>
    <xf numFmtId="10" fontId="17" fillId="9" borderId="0" xfId="0" applyNumberFormat="1" applyFont="1" applyFill="1" applyAlignment="1">
      <alignment horizontal="center"/>
    </xf>
    <xf numFmtId="169" fontId="17" fillId="9" borderId="3" xfId="0" applyNumberFormat="1" applyFont="1" applyFill="1" applyBorder="1"/>
    <xf numFmtId="169" fontId="17" fillId="0" borderId="0" xfId="0" applyNumberFormat="1" applyFont="1"/>
    <xf numFmtId="0" fontId="17" fillId="0" borderId="20" xfId="0" applyFont="1" applyBorder="1"/>
    <xf numFmtId="10" fontId="18" fillId="0" borderId="0" xfId="3" applyNumberFormat="1" applyFont="1" applyAlignment="1">
      <alignment horizontal="center" vertical="top"/>
    </xf>
    <xf numFmtId="169" fontId="17" fillId="0" borderId="3" xfId="0" applyNumberFormat="1" applyFont="1" applyBorder="1"/>
    <xf numFmtId="169" fontId="17" fillId="9" borderId="34" xfId="0" applyNumberFormat="1" applyFont="1" applyFill="1" applyBorder="1"/>
    <xf numFmtId="0" fontId="17" fillId="0" borderId="35" xfId="0" applyFont="1" applyBorder="1"/>
    <xf numFmtId="169" fontId="17" fillId="0" borderId="34" xfId="0" applyNumberFormat="1" applyFont="1" applyBorder="1"/>
    <xf numFmtId="0" fontId="20" fillId="0" borderId="30" xfId="0" applyFont="1" applyBorder="1" applyAlignment="1">
      <alignment horizontal="left" vertical="top" wrapText="1" readingOrder="1"/>
    </xf>
    <xf numFmtId="2" fontId="18" fillId="0" borderId="31" xfId="0" applyNumberFormat="1" applyFont="1" applyBorder="1" applyAlignment="1">
      <alignment horizontal="center" vertical="top"/>
    </xf>
    <xf numFmtId="0" fontId="17" fillId="0" borderId="25" xfId="0" applyFont="1" applyBorder="1"/>
    <xf numFmtId="0" fontId="17" fillId="0" borderId="34" xfId="0" applyFont="1" applyBorder="1"/>
    <xf numFmtId="169" fontId="17" fillId="9" borderId="0" xfId="0" applyNumberFormat="1" applyFont="1" applyFill="1" applyAlignment="1">
      <alignment horizontal="right"/>
    </xf>
    <xf numFmtId="169" fontId="17" fillId="9" borderId="3" xfId="2" applyNumberFormat="1" applyFont="1" applyFill="1" applyBorder="1"/>
    <xf numFmtId="169" fontId="17" fillId="0" borderId="0" xfId="0" applyNumberFormat="1" applyFont="1" applyAlignment="1">
      <alignment horizontal="right"/>
    </xf>
    <xf numFmtId="169" fontId="17" fillId="0" borderId="3" xfId="2" applyNumberFormat="1" applyFont="1" applyBorder="1"/>
    <xf numFmtId="0" fontId="18" fillId="0" borderId="20" xfId="0" applyFont="1" applyBorder="1"/>
    <xf numFmtId="10" fontId="24" fillId="0" borderId="27" xfId="0" applyNumberFormat="1" applyFont="1" applyBorder="1" applyAlignment="1">
      <alignment horizontal="center"/>
    </xf>
    <xf numFmtId="0" fontId="18" fillId="0" borderId="3" xfId="0" applyFont="1" applyBorder="1"/>
    <xf numFmtId="5" fontId="18" fillId="12" borderId="27" xfId="2" applyNumberFormat="1" applyFont="1" applyFill="1" applyBorder="1" applyAlignment="1">
      <alignment horizontal="center" vertical="top"/>
    </xf>
    <xf numFmtId="0" fontId="18" fillId="12" borderId="3" xfId="0" applyFont="1" applyFill="1" applyBorder="1"/>
    <xf numFmtId="0" fontId="18" fillId="12" borderId="20" xfId="0" applyFont="1" applyFill="1" applyBorder="1" applyAlignment="1">
      <alignment horizontal="left" vertical="top"/>
    </xf>
    <xf numFmtId="0" fontId="17" fillId="9" borderId="28" xfId="0" applyFont="1" applyFill="1" applyBorder="1"/>
    <xf numFmtId="169" fontId="17" fillId="9" borderId="29" xfId="0" applyNumberFormat="1" applyFont="1" applyFill="1" applyBorder="1"/>
    <xf numFmtId="0" fontId="17" fillId="0" borderId="36" xfId="0" applyFont="1" applyBorder="1"/>
    <xf numFmtId="0" fontId="17" fillId="0" borderId="37" xfId="0" applyFont="1" applyBorder="1"/>
    <xf numFmtId="10" fontId="17" fillId="0" borderId="37" xfId="0" applyNumberFormat="1" applyFont="1" applyBorder="1" applyAlignment="1">
      <alignment horizontal="center"/>
    </xf>
    <xf numFmtId="169" fontId="17" fillId="0" borderId="38" xfId="0" applyNumberFormat="1" applyFont="1" applyBorder="1"/>
    <xf numFmtId="0" fontId="18" fillId="12" borderId="20" xfId="0" applyFont="1" applyFill="1" applyBorder="1"/>
    <xf numFmtId="10" fontId="18" fillId="12" borderId="27" xfId="0" applyNumberFormat="1" applyFont="1" applyFill="1" applyBorder="1" applyAlignment="1">
      <alignment horizontal="center"/>
    </xf>
    <xf numFmtId="0" fontId="17" fillId="0" borderId="30" xfId="0" applyFont="1" applyBorder="1"/>
    <xf numFmtId="0" fontId="17" fillId="0" borderId="15" xfId="0" applyFont="1" applyBorder="1"/>
    <xf numFmtId="10" fontId="17" fillId="0" borderId="15" xfId="0" applyNumberFormat="1" applyFont="1" applyBorder="1" applyAlignment="1">
      <alignment horizontal="center"/>
    </xf>
    <xf numFmtId="169" fontId="17" fillId="0" borderId="25" xfId="0" applyNumberFormat="1" applyFont="1" applyBorder="1"/>
    <xf numFmtId="0" fontId="17" fillId="9" borderId="30" xfId="0" applyFont="1" applyFill="1" applyBorder="1"/>
    <xf numFmtId="0" fontId="17" fillId="9" borderId="15" xfId="0" applyFont="1" applyFill="1" applyBorder="1"/>
    <xf numFmtId="10" fontId="17" fillId="9" borderId="15" xfId="0" applyNumberFormat="1" applyFont="1" applyFill="1" applyBorder="1" applyAlignment="1">
      <alignment horizontal="center"/>
    </xf>
    <xf numFmtId="169" fontId="17" fillId="9" borderId="25" xfId="0" applyNumberFormat="1" applyFont="1" applyFill="1" applyBorder="1"/>
    <xf numFmtId="0" fontId="17" fillId="12" borderId="7" xfId="0" applyFont="1" applyFill="1" applyBorder="1"/>
    <xf numFmtId="10" fontId="17" fillId="0" borderId="0" xfId="3" applyNumberFormat="1" applyFont="1" applyAlignment="1">
      <alignment horizontal="center"/>
    </xf>
    <xf numFmtId="0" fontId="18" fillId="12" borderId="19" xfId="0" applyFont="1" applyFill="1" applyBorder="1"/>
    <xf numFmtId="9" fontId="17" fillId="12" borderId="39" xfId="0" applyNumberFormat="1" applyFont="1" applyFill="1" applyBorder="1" applyAlignment="1">
      <alignment horizontal="center"/>
    </xf>
    <xf numFmtId="0" fontId="17" fillId="12" borderId="5" xfId="0" applyFont="1" applyFill="1" applyBorder="1"/>
    <xf numFmtId="10" fontId="17" fillId="9" borderId="20" xfId="3" applyNumberFormat="1" applyFont="1" applyFill="1" applyBorder="1"/>
    <xf numFmtId="0" fontId="17" fillId="12" borderId="6" xfId="0" applyFont="1" applyFill="1" applyBorder="1"/>
    <xf numFmtId="10" fontId="17" fillId="0" borderId="7" xfId="3" applyNumberFormat="1" applyFont="1" applyBorder="1" applyAlignment="1">
      <alignment horizontal="center"/>
    </xf>
    <xf numFmtId="0" fontId="18" fillId="12" borderId="21" xfId="0" applyFont="1" applyFill="1" applyBorder="1"/>
    <xf numFmtId="10" fontId="17" fillId="12" borderId="22" xfId="0" applyNumberFormat="1" applyFont="1" applyFill="1" applyBorder="1" applyAlignment="1">
      <alignment horizontal="center"/>
    </xf>
    <xf numFmtId="0" fontId="17" fillId="12" borderId="23" xfId="0" applyFont="1" applyFill="1" applyBorder="1"/>
    <xf numFmtId="0" fontId="19" fillId="0" borderId="21" xfId="0" applyFont="1" applyBorder="1" applyAlignment="1">
      <alignment horizontal="left"/>
    </xf>
    <xf numFmtId="0" fontId="19" fillId="0" borderId="22" xfId="0" applyFont="1" applyBorder="1"/>
    <xf numFmtId="44" fontId="19" fillId="0" borderId="22" xfId="10" applyFont="1" applyBorder="1"/>
    <xf numFmtId="44" fontId="19" fillId="0" borderId="23" xfId="10" applyFont="1" applyBorder="1"/>
    <xf numFmtId="0" fontId="17" fillId="12" borderId="40" xfId="0" applyFont="1" applyFill="1" applyBorder="1"/>
    <xf numFmtId="0" fontId="19" fillId="9" borderId="20" xfId="0" applyFont="1" applyFill="1" applyBorder="1"/>
    <xf numFmtId="0" fontId="19" fillId="9" borderId="0" xfId="0" applyFont="1" applyFill="1"/>
    <xf numFmtId="44" fontId="19" fillId="9" borderId="0" xfId="10" applyFont="1" applyFill="1"/>
    <xf numFmtId="44" fontId="19" fillId="9" borderId="3" xfId="10" applyFont="1" applyFill="1" applyBorder="1"/>
    <xf numFmtId="170" fontId="18" fillId="0" borderId="19" xfId="0" applyNumberFormat="1" applyFont="1" applyBorder="1"/>
    <xf numFmtId="0" fontId="17" fillId="0" borderId="4" xfId="0" applyFont="1" applyBorder="1"/>
    <xf numFmtId="9" fontId="18" fillId="0" borderId="4" xfId="0" applyNumberFormat="1" applyFont="1" applyBorder="1" applyAlignment="1">
      <alignment horizontal="center"/>
    </xf>
    <xf numFmtId="170" fontId="18" fillId="9" borderId="19" xfId="0" applyNumberFormat="1" applyFont="1" applyFill="1" applyBorder="1"/>
    <xf numFmtId="0" fontId="17" fillId="9" borderId="4" xfId="0" applyFont="1" applyFill="1" applyBorder="1"/>
    <xf numFmtId="9" fontId="18" fillId="9" borderId="4" xfId="0" applyNumberFormat="1" applyFont="1" applyFill="1" applyBorder="1" applyAlignment="1">
      <alignment horizontal="center"/>
    </xf>
    <xf numFmtId="44" fontId="18" fillId="9" borderId="42" xfId="10" applyFont="1" applyFill="1" applyBorder="1"/>
    <xf numFmtId="3" fontId="19" fillId="0" borderId="0" xfId="0" applyNumberFormat="1" applyFont="1"/>
    <xf numFmtId="44" fontId="27" fillId="0" borderId="0" xfId="2" applyFont="1"/>
    <xf numFmtId="0" fontId="18" fillId="12" borderId="0" xfId="0" applyFont="1" applyFill="1"/>
    <xf numFmtId="9" fontId="17" fillId="12" borderId="0" xfId="0" applyNumberFormat="1" applyFont="1" applyFill="1" applyAlignment="1">
      <alignment horizontal="center"/>
    </xf>
    <xf numFmtId="0" fontId="17" fillId="12" borderId="0" xfId="0" applyFont="1" applyFill="1"/>
    <xf numFmtId="10" fontId="17" fillId="0" borderId="0" xfId="3" applyNumberFormat="1" applyFont="1"/>
    <xf numFmtId="0" fontId="28" fillId="0" borderId="0" xfId="0" applyFont="1" applyAlignment="1">
      <alignment horizontal="center"/>
    </xf>
    <xf numFmtId="6" fontId="28" fillId="0" borderId="0" xfId="0" applyNumberFormat="1" applyFont="1" applyAlignment="1">
      <alignment horizontal="center"/>
    </xf>
    <xf numFmtId="0" fontId="29" fillId="9" borderId="19" xfId="0" applyFont="1" applyFill="1" applyBorder="1" applyAlignment="1">
      <alignment horizontal="center"/>
    </xf>
    <xf numFmtId="0" fontId="21" fillId="9" borderId="4" xfId="0" applyFont="1" applyFill="1" applyBorder="1" applyAlignment="1">
      <alignment horizontal="center"/>
    </xf>
    <xf numFmtId="0" fontId="29" fillId="9" borderId="4" xfId="0" applyFont="1" applyFill="1" applyBorder="1"/>
    <xf numFmtId="3" fontId="29" fillId="9" borderId="5" xfId="0" applyNumberFormat="1" applyFont="1" applyFill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9" fillId="0" borderId="4" xfId="0" applyFont="1" applyBorder="1"/>
    <xf numFmtId="3" fontId="29" fillId="0" borderId="5" xfId="0" applyNumberFormat="1" applyFont="1" applyBorder="1" applyAlignment="1">
      <alignment horizontal="center"/>
    </xf>
    <xf numFmtId="0" fontId="21" fillId="9" borderId="17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/>
    </xf>
    <xf numFmtId="0" fontId="28" fillId="9" borderId="18" xfId="0" applyFont="1" applyFill="1" applyBorder="1" applyAlignment="1">
      <alignment horizontal="center"/>
    </xf>
    <xf numFmtId="169" fontId="28" fillId="9" borderId="26" xfId="2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center" vertical="center"/>
    </xf>
    <xf numFmtId="0" fontId="28" fillId="12" borderId="1" xfId="0" applyFont="1" applyFill="1" applyBorder="1" applyAlignment="1">
      <alignment horizontal="center"/>
    </xf>
    <xf numFmtId="0" fontId="28" fillId="12" borderId="18" xfId="0" applyFont="1" applyFill="1" applyBorder="1" applyAlignment="1">
      <alignment horizontal="center"/>
    </xf>
    <xf numFmtId="169" fontId="28" fillId="12" borderId="26" xfId="2" applyNumberFormat="1" applyFont="1" applyFill="1" applyBorder="1" applyAlignment="1">
      <alignment horizontal="center"/>
    </xf>
    <xf numFmtId="0" fontId="21" fillId="9" borderId="28" xfId="0" applyFont="1" applyFill="1" applyBorder="1" applyAlignment="1">
      <alignment vertical="top"/>
    </xf>
    <xf numFmtId="169" fontId="28" fillId="9" borderId="3" xfId="2" applyNumberFormat="1" applyFont="1" applyFill="1" applyBorder="1" applyAlignment="1">
      <alignment horizontal="center"/>
    </xf>
    <xf numFmtId="169" fontId="28" fillId="0" borderId="3" xfId="2" applyNumberFormat="1" applyFont="1" applyBorder="1" applyAlignment="1">
      <alignment horizontal="center"/>
    </xf>
    <xf numFmtId="0" fontId="21" fillId="9" borderId="20" xfId="0" applyFont="1" applyFill="1" applyBorder="1" applyAlignment="1">
      <alignment vertical="top" wrapText="1"/>
    </xf>
    <xf numFmtId="6" fontId="17" fillId="0" borderId="0" xfId="0" applyNumberFormat="1" applyFont="1"/>
    <xf numFmtId="169" fontId="28" fillId="9" borderId="3" xfId="2" applyNumberFormat="1" applyFont="1" applyFill="1" applyBorder="1" applyAlignment="1">
      <alignment horizontal="center" vertical="top"/>
    </xf>
    <xf numFmtId="0" fontId="17" fillId="12" borderId="43" xfId="0" applyFont="1" applyFill="1" applyBorder="1"/>
    <xf numFmtId="0" fontId="17" fillId="12" borderId="20" xfId="0" applyFont="1" applyFill="1" applyBorder="1"/>
    <xf numFmtId="4" fontId="18" fillId="12" borderId="27" xfId="0" applyNumberFormat="1" applyFont="1" applyFill="1" applyBorder="1" applyAlignment="1">
      <alignment horizontal="center"/>
    </xf>
    <xf numFmtId="0" fontId="29" fillId="9" borderId="32" xfId="0" applyFont="1" applyFill="1" applyBorder="1"/>
    <xf numFmtId="169" fontId="28" fillId="9" borderId="35" xfId="0" applyNumberFormat="1" applyFont="1" applyFill="1" applyBorder="1" applyAlignment="1">
      <alignment horizontal="center"/>
    </xf>
    <xf numFmtId="4" fontId="28" fillId="9" borderId="35" xfId="0" applyNumberFormat="1" applyFont="1" applyFill="1" applyBorder="1" applyAlignment="1">
      <alignment horizontal="center"/>
    </xf>
    <xf numFmtId="169" fontId="28" fillId="9" borderId="34" xfId="0" applyNumberFormat="1" applyFont="1" applyFill="1" applyBorder="1" applyAlignment="1">
      <alignment horizontal="center"/>
    </xf>
    <xf numFmtId="42" fontId="18" fillId="0" borderId="15" xfId="0" applyNumberFormat="1" applyFont="1" applyBorder="1" applyAlignment="1">
      <alignment vertical="top"/>
    </xf>
    <xf numFmtId="4" fontId="23" fillId="0" borderId="15" xfId="0" applyNumberFormat="1" applyFont="1" applyBorder="1" applyAlignment="1">
      <alignment horizontal="center" vertical="top"/>
    </xf>
    <xf numFmtId="0" fontId="28" fillId="9" borderId="0" xfId="0" applyFont="1" applyFill="1" applyAlignment="1">
      <alignment horizontal="center"/>
    </xf>
    <xf numFmtId="0" fontId="28" fillId="9" borderId="32" xfId="0" applyFont="1" applyFill="1" applyBorder="1"/>
    <xf numFmtId="0" fontId="28" fillId="9" borderId="35" xfId="0" applyFont="1" applyFill="1" applyBorder="1"/>
    <xf numFmtId="2" fontId="28" fillId="9" borderId="35" xfId="0" applyNumberFormat="1" applyFont="1" applyFill="1" applyBorder="1" applyAlignment="1">
      <alignment horizontal="center"/>
    </xf>
    <xf numFmtId="169" fontId="28" fillId="9" borderId="34" xfId="2" applyNumberFormat="1" applyFont="1" applyFill="1" applyBorder="1"/>
    <xf numFmtId="0" fontId="28" fillId="0" borderId="32" xfId="0" applyFont="1" applyBorder="1"/>
    <xf numFmtId="0" fontId="28" fillId="0" borderId="35" xfId="0" applyFont="1" applyBorder="1"/>
    <xf numFmtId="2" fontId="28" fillId="0" borderId="35" xfId="0" applyNumberFormat="1" applyFont="1" applyBorder="1" applyAlignment="1">
      <alignment horizontal="center"/>
    </xf>
    <xf numFmtId="169" fontId="28" fillId="0" borderId="34" xfId="2" applyNumberFormat="1" applyFont="1" applyBorder="1"/>
    <xf numFmtId="169" fontId="28" fillId="9" borderId="3" xfId="0" applyNumberFormat="1" applyFont="1" applyFill="1" applyBorder="1"/>
    <xf numFmtId="10" fontId="18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4" fontId="18" fillId="0" borderId="27" xfId="0" applyNumberFormat="1" applyFont="1" applyBorder="1" applyAlignment="1">
      <alignment horizontal="center"/>
    </xf>
    <xf numFmtId="169" fontId="28" fillId="9" borderId="34" xfId="0" applyNumberFormat="1" applyFont="1" applyFill="1" applyBorder="1"/>
    <xf numFmtId="169" fontId="28" fillId="0" borderId="34" xfId="0" applyNumberFormat="1" applyFont="1" applyBorder="1"/>
    <xf numFmtId="0" fontId="28" fillId="9" borderId="20" xfId="0" applyFont="1" applyFill="1" applyBorder="1"/>
    <xf numFmtId="0" fontId="28" fillId="0" borderId="20" xfId="0" applyFont="1" applyBorder="1"/>
    <xf numFmtId="169" fontId="28" fillId="0" borderId="3" xfId="0" applyNumberFormat="1" applyFont="1" applyBorder="1"/>
    <xf numFmtId="4" fontId="18" fillId="0" borderId="31" xfId="0" applyNumberFormat="1" applyFont="1" applyBorder="1" applyAlignment="1">
      <alignment horizontal="center"/>
    </xf>
    <xf numFmtId="0" fontId="17" fillId="12" borderId="25" xfId="0" applyFont="1" applyFill="1" applyBorder="1"/>
    <xf numFmtId="5" fontId="17" fillId="0" borderId="0" xfId="2" applyNumberFormat="1" applyFont="1" applyAlignment="1">
      <alignment horizontal="center"/>
    </xf>
    <xf numFmtId="10" fontId="18" fillId="0" borderId="27" xfId="0" applyNumberFormat="1" applyFont="1" applyBorder="1" applyAlignment="1">
      <alignment horizontal="center"/>
    </xf>
    <xf numFmtId="5" fontId="18" fillId="0" borderId="27" xfId="2" applyNumberFormat="1" applyFont="1" applyBorder="1" applyAlignment="1">
      <alignment horizontal="center"/>
    </xf>
    <xf numFmtId="0" fontId="28" fillId="9" borderId="28" xfId="0" applyFont="1" applyFill="1" applyBorder="1"/>
    <xf numFmtId="0" fontId="28" fillId="9" borderId="30" xfId="0" applyFont="1" applyFill="1" applyBorder="1"/>
    <xf numFmtId="169" fontId="28" fillId="9" borderId="25" xfId="0" applyNumberFormat="1" applyFont="1" applyFill="1" applyBorder="1"/>
    <xf numFmtId="0" fontId="17" fillId="0" borderId="44" xfId="0" applyFont="1" applyBorder="1"/>
    <xf numFmtId="169" fontId="28" fillId="0" borderId="25" xfId="0" applyNumberFormat="1" applyFont="1" applyBorder="1"/>
    <xf numFmtId="0" fontId="17" fillId="0" borderId="40" xfId="0" applyFont="1" applyBorder="1"/>
    <xf numFmtId="0" fontId="17" fillId="0" borderId="45" xfId="0" applyFont="1" applyBorder="1"/>
    <xf numFmtId="10" fontId="17" fillId="0" borderId="45" xfId="0" applyNumberFormat="1" applyFont="1" applyBorder="1" applyAlignment="1">
      <alignment horizontal="center"/>
    </xf>
    <xf numFmtId="169" fontId="17" fillId="0" borderId="46" xfId="2" applyNumberFormat="1" applyFont="1" applyBorder="1"/>
    <xf numFmtId="0" fontId="29" fillId="9" borderId="20" xfId="0" applyFont="1" applyFill="1" applyBorder="1"/>
    <xf numFmtId="0" fontId="17" fillId="0" borderId="21" xfId="0" applyFont="1" applyBorder="1"/>
    <xf numFmtId="44" fontId="21" fillId="9" borderId="42" xfId="10" applyFont="1" applyFill="1" applyBorder="1"/>
    <xf numFmtId="170" fontId="18" fillId="0" borderId="21" xfId="0" applyNumberFormat="1" applyFont="1" applyBorder="1"/>
    <xf numFmtId="9" fontId="18" fillId="0" borderId="22" xfId="0" applyNumberFormat="1" applyFont="1" applyBorder="1" applyAlignment="1">
      <alignment horizontal="center"/>
    </xf>
    <xf numFmtId="10" fontId="26" fillId="0" borderId="22" xfId="0" applyNumberFormat="1" applyFont="1" applyBorder="1" applyAlignment="1">
      <alignment horizontal="center"/>
    </xf>
    <xf numFmtId="5" fontId="22" fillId="0" borderId="0" xfId="0" applyNumberFormat="1" applyFont="1" applyAlignment="1">
      <alignment horizontal="center" vertical="top"/>
    </xf>
    <xf numFmtId="42" fontId="22" fillId="0" borderId="0" xfId="0" applyNumberFormat="1" applyFont="1" applyAlignment="1">
      <alignment vertical="top"/>
    </xf>
    <xf numFmtId="0" fontId="21" fillId="12" borderId="0" xfId="0" applyFont="1" applyFill="1"/>
    <xf numFmtId="169" fontId="28" fillId="12" borderId="15" xfId="2" applyNumberFormat="1" applyFont="1" applyFill="1" applyBorder="1" applyAlignment="1">
      <alignment horizontal="center"/>
    </xf>
    <xf numFmtId="169" fontId="28" fillId="12" borderId="0" xfId="2" applyNumberFormat="1" applyFont="1" applyFill="1" applyAlignment="1">
      <alignment horizontal="center"/>
    </xf>
    <xf numFmtId="0" fontId="29" fillId="9" borderId="24" xfId="0" applyFont="1" applyFill="1" applyBorder="1" applyAlignment="1">
      <alignment horizontal="center" vertical="center"/>
    </xf>
    <xf numFmtId="169" fontId="28" fillId="0" borderId="0" xfId="2" applyNumberFormat="1" applyFont="1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28" fillId="9" borderId="7" xfId="0" applyFont="1" applyFill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1" fillId="9" borderId="20" xfId="0" applyFont="1" applyFill="1" applyBorder="1" applyAlignment="1">
      <alignment vertical="top"/>
    </xf>
    <xf numFmtId="4" fontId="23" fillId="9" borderId="0" xfId="0" applyNumberFormat="1" applyFont="1" applyFill="1" applyAlignment="1">
      <alignment vertical="top"/>
    </xf>
    <xf numFmtId="4" fontId="18" fillId="0" borderId="0" xfId="0" applyNumberFormat="1" applyFont="1" applyAlignment="1">
      <alignment vertical="top"/>
    </xf>
    <xf numFmtId="169" fontId="28" fillId="0" borderId="0" xfId="2" applyNumberFormat="1" applyFont="1" applyAlignment="1">
      <alignment horizontal="center" vertical="top"/>
    </xf>
    <xf numFmtId="4" fontId="23" fillId="12" borderId="27" xfId="0" applyNumberFormat="1" applyFont="1" applyFill="1" applyBorder="1" applyAlignment="1">
      <alignment horizontal="center" vertical="top"/>
    </xf>
    <xf numFmtId="0" fontId="17" fillId="12" borderId="47" xfId="0" applyFont="1" applyFill="1" applyBorder="1"/>
    <xf numFmtId="42" fontId="28" fillId="0" borderId="0" xfId="0" applyNumberFormat="1" applyFont="1" applyAlignment="1">
      <alignment horizontal="center"/>
    </xf>
    <xf numFmtId="0" fontId="29" fillId="9" borderId="32" xfId="0" applyFont="1" applyFill="1" applyBorder="1" applyAlignment="1">
      <alignment vertical="top"/>
    </xf>
    <xf numFmtId="42" fontId="28" fillId="9" borderId="34" xfId="0" applyNumberFormat="1" applyFont="1" applyFill="1" applyBorder="1" applyAlignment="1">
      <alignment horizontal="center"/>
    </xf>
    <xf numFmtId="169" fontId="28" fillId="0" borderId="0" xfId="2" applyNumberFormat="1" applyFont="1"/>
    <xf numFmtId="169" fontId="28" fillId="0" borderId="0" xfId="0" applyNumberFormat="1" applyFont="1"/>
    <xf numFmtId="10" fontId="17" fillId="8" borderId="0" xfId="0" applyNumberFormat="1" applyFont="1" applyFill="1" applyAlignment="1">
      <alignment horizontal="center"/>
    </xf>
    <xf numFmtId="4" fontId="23" fillId="0" borderId="27" xfId="0" applyNumberFormat="1" applyFont="1" applyBorder="1" applyAlignment="1">
      <alignment horizontal="center" vertical="top"/>
    </xf>
    <xf numFmtId="4" fontId="23" fillId="0" borderId="31" xfId="0" applyNumberFormat="1" applyFont="1" applyBorder="1" applyAlignment="1">
      <alignment horizontal="center" vertical="top"/>
    </xf>
    <xf numFmtId="0" fontId="17" fillId="12" borderId="48" xfId="0" applyFont="1" applyFill="1" applyBorder="1"/>
    <xf numFmtId="171" fontId="17" fillId="9" borderId="0" xfId="0" applyNumberFormat="1" applyFont="1" applyFill="1" applyAlignment="1">
      <alignment horizontal="center"/>
    </xf>
    <xf numFmtId="5" fontId="17" fillId="0" borderId="0" xfId="0" applyNumberFormat="1" applyFont="1" applyAlignment="1">
      <alignment horizontal="center"/>
    </xf>
    <xf numFmtId="169" fontId="17" fillId="9" borderId="0" xfId="0" applyNumberFormat="1" applyFont="1" applyFill="1" applyAlignment="1">
      <alignment horizontal="center"/>
    </xf>
    <xf numFmtId="0" fontId="28" fillId="9" borderId="40" xfId="0" applyFont="1" applyFill="1" applyBorder="1"/>
    <xf numFmtId="0" fontId="17" fillId="9" borderId="45" xfId="0" applyFont="1" applyFill="1" applyBorder="1"/>
    <xf numFmtId="0" fontId="17" fillId="9" borderId="45" xfId="0" applyFont="1" applyFill="1" applyBorder="1" applyAlignment="1">
      <alignment horizontal="center"/>
    </xf>
    <xf numFmtId="169" fontId="17" fillId="9" borderId="46" xfId="0" applyNumberFormat="1" applyFont="1" applyFill="1" applyBorder="1"/>
    <xf numFmtId="0" fontId="18" fillId="0" borderId="20" xfId="0" applyFont="1" applyBorder="1" applyAlignment="1">
      <alignment horizontal="left" vertical="top"/>
    </xf>
    <xf numFmtId="5" fontId="18" fillId="0" borderId="27" xfId="2" applyNumberFormat="1" applyFont="1" applyBorder="1" applyAlignment="1">
      <alignment horizontal="center" vertical="top"/>
    </xf>
    <xf numFmtId="0" fontId="17" fillId="0" borderId="15" xfId="0" applyFont="1" applyBorder="1" applyAlignment="1">
      <alignment horizontal="center"/>
    </xf>
    <xf numFmtId="0" fontId="17" fillId="12" borderId="35" xfId="0" applyFont="1" applyFill="1" applyBorder="1"/>
    <xf numFmtId="10" fontId="17" fillId="0" borderId="35" xfId="0" applyNumberFormat="1" applyFont="1" applyBorder="1" applyAlignment="1">
      <alignment horizontal="center"/>
    </xf>
    <xf numFmtId="0" fontId="17" fillId="9" borderId="15" xfId="0" applyFont="1" applyFill="1" applyBorder="1" applyAlignment="1">
      <alignment horizontal="center"/>
    </xf>
    <xf numFmtId="0" fontId="17" fillId="12" borderId="9" xfId="0" applyFont="1" applyFill="1" applyBorder="1"/>
    <xf numFmtId="10" fontId="26" fillId="0" borderId="0" xfId="0" applyNumberFormat="1" applyFont="1" applyAlignment="1">
      <alignment horizontal="center"/>
    </xf>
    <xf numFmtId="10" fontId="17" fillId="12" borderId="22" xfId="3" applyNumberFormat="1" applyFont="1" applyFill="1" applyBorder="1" applyAlignment="1">
      <alignment horizontal="center"/>
    </xf>
    <xf numFmtId="10" fontId="17" fillId="12" borderId="23" xfId="0" applyNumberFormat="1" applyFont="1" applyFill="1" applyBorder="1"/>
    <xf numFmtId="3" fontId="29" fillId="0" borderId="0" xfId="0" applyNumberFormat="1" applyFont="1"/>
    <xf numFmtId="0" fontId="29" fillId="0" borderId="21" xfId="0" applyFont="1" applyBorder="1"/>
    <xf numFmtId="0" fontId="17" fillId="0" borderId="22" xfId="0" applyFont="1" applyBorder="1"/>
    <xf numFmtId="0" fontId="17" fillId="0" borderId="22" xfId="0" applyFont="1" applyBorder="1" applyAlignment="1">
      <alignment horizontal="center"/>
    </xf>
    <xf numFmtId="44" fontId="17" fillId="0" borderId="23" xfId="0" applyNumberFormat="1" applyFont="1" applyBorder="1"/>
    <xf numFmtId="44" fontId="29" fillId="8" borderId="23" xfId="10" applyFont="1" applyFill="1" applyBorder="1"/>
    <xf numFmtId="8" fontId="17" fillId="0" borderId="0" xfId="0" applyNumberFormat="1" applyFont="1"/>
    <xf numFmtId="44" fontId="19" fillId="0" borderId="0" xfId="10" applyFont="1"/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6" fontId="31" fillId="0" borderId="0" xfId="0" applyNumberFormat="1" applyFont="1" applyAlignment="1">
      <alignment vertical="center"/>
    </xf>
    <xf numFmtId="44" fontId="17" fillId="0" borderId="0" xfId="0" applyNumberFormat="1" applyFont="1"/>
    <xf numFmtId="172" fontId="17" fillId="0" borderId="0" xfId="0" applyNumberFormat="1" applyFont="1"/>
    <xf numFmtId="173" fontId="21" fillId="12" borderId="0" xfId="0" applyNumberFormat="1" applyFont="1" applyFill="1" applyAlignment="1">
      <alignment horizontal="center"/>
    </xf>
    <xf numFmtId="0" fontId="17" fillId="12" borderId="0" xfId="11" applyFont="1" applyFill="1"/>
    <xf numFmtId="0" fontId="29" fillId="9" borderId="17" xfId="11" applyFont="1" applyFill="1" applyBorder="1" applyAlignment="1">
      <alignment horizontal="center"/>
    </xf>
    <xf numFmtId="0" fontId="21" fillId="9" borderId="1" xfId="11" applyFont="1" applyFill="1" applyBorder="1" applyAlignment="1">
      <alignment horizontal="center"/>
    </xf>
    <xf numFmtId="0" fontId="29" fillId="9" borderId="1" xfId="11" applyFont="1" applyFill="1" applyBorder="1" applyAlignment="1">
      <alignment horizontal="right"/>
    </xf>
    <xf numFmtId="3" fontId="29" fillId="9" borderId="2" xfId="11" applyNumberFormat="1" applyFont="1" applyFill="1" applyBorder="1" applyAlignment="1">
      <alignment horizontal="center"/>
    </xf>
    <xf numFmtId="0" fontId="29" fillId="12" borderId="17" xfId="11" applyFont="1" applyFill="1" applyBorder="1" applyAlignment="1">
      <alignment horizontal="center"/>
    </xf>
    <xf numFmtId="0" fontId="21" fillId="12" borderId="1" xfId="11" applyFont="1" applyFill="1" applyBorder="1" applyAlignment="1">
      <alignment horizontal="center"/>
    </xf>
    <xf numFmtId="0" fontId="29" fillId="12" borderId="1" xfId="11" applyFont="1" applyFill="1" applyBorder="1" applyAlignment="1">
      <alignment horizontal="right"/>
    </xf>
    <xf numFmtId="3" fontId="29" fillId="12" borderId="2" xfId="11" applyNumberFormat="1" applyFont="1" applyFill="1" applyBorder="1" applyAlignment="1">
      <alignment horizontal="center"/>
    </xf>
    <xf numFmtId="0" fontId="19" fillId="9" borderId="20" xfId="11" applyFont="1" applyFill="1" applyBorder="1"/>
    <xf numFmtId="0" fontId="19" fillId="9" borderId="0" xfId="11" applyFont="1" applyFill="1"/>
    <xf numFmtId="0" fontId="19" fillId="9" borderId="3" xfId="11" applyFont="1" applyFill="1" applyBorder="1"/>
    <xf numFmtId="0" fontId="19" fillId="12" borderId="20" xfId="11" applyFont="1" applyFill="1" applyBorder="1"/>
    <xf numFmtId="0" fontId="19" fillId="12" borderId="0" xfId="11" applyFont="1" applyFill="1"/>
    <xf numFmtId="0" fontId="19" fillId="12" borderId="3" xfId="11" applyFont="1" applyFill="1" applyBorder="1"/>
    <xf numFmtId="0" fontId="29" fillId="9" borderId="24" xfId="11" applyFont="1" applyFill="1" applyBorder="1"/>
    <xf numFmtId="0" fontId="29" fillId="9" borderId="18" xfId="11" applyFont="1" applyFill="1" applyBorder="1" applyAlignment="1">
      <alignment horizontal="center"/>
    </xf>
    <xf numFmtId="0" fontId="29" fillId="9" borderId="26" xfId="11" applyFont="1" applyFill="1" applyBorder="1" applyAlignment="1">
      <alignment horizontal="center"/>
    </xf>
    <xf numFmtId="0" fontId="29" fillId="12" borderId="24" xfId="11" applyFont="1" applyFill="1" applyBorder="1"/>
    <xf numFmtId="0" fontId="29" fillId="12" borderId="18" xfId="11" applyFont="1" applyFill="1" applyBorder="1" applyAlignment="1">
      <alignment horizontal="center"/>
    </xf>
    <xf numFmtId="0" fontId="29" fillId="12" borderId="26" xfId="11" applyFont="1" applyFill="1" applyBorder="1" applyAlignment="1">
      <alignment horizontal="center"/>
    </xf>
    <xf numFmtId="0" fontId="29" fillId="9" borderId="0" xfId="11" applyFont="1" applyFill="1" applyAlignment="1">
      <alignment horizontal="center"/>
    </xf>
    <xf numFmtId="0" fontId="29" fillId="9" borderId="3" xfId="11" applyFont="1" applyFill="1" applyBorder="1" applyAlignment="1">
      <alignment horizontal="center"/>
    </xf>
    <xf numFmtId="0" fontId="29" fillId="12" borderId="0" xfId="11" applyFont="1" applyFill="1" applyAlignment="1">
      <alignment horizontal="center"/>
    </xf>
    <xf numFmtId="44" fontId="17" fillId="0" borderId="0" xfId="2" applyFont="1"/>
    <xf numFmtId="0" fontId="18" fillId="9" borderId="20" xfId="11" applyFont="1" applyFill="1" applyBorder="1"/>
    <xf numFmtId="42" fontId="22" fillId="9" borderId="0" xfId="11" applyNumberFormat="1" applyFont="1" applyFill="1"/>
    <xf numFmtId="4" fontId="33" fillId="9" borderId="0" xfId="11" applyNumberFormat="1" applyFont="1" applyFill="1" applyAlignment="1">
      <alignment horizontal="center"/>
    </xf>
    <xf numFmtId="42" fontId="19" fillId="9" borderId="3" xfId="11" applyNumberFormat="1" applyFont="1" applyFill="1" applyBorder="1"/>
    <xf numFmtId="4" fontId="18" fillId="0" borderId="27" xfId="11" applyNumberFormat="1" applyFont="1" applyBorder="1" applyAlignment="1">
      <alignment horizontal="center"/>
    </xf>
    <xf numFmtId="0" fontId="18" fillId="9" borderId="30" xfId="11" applyFont="1" applyFill="1" applyBorder="1"/>
    <xf numFmtId="42" fontId="22" fillId="9" borderId="15" xfId="11" applyNumberFormat="1" applyFont="1" applyFill="1" applyBorder="1"/>
    <xf numFmtId="4" fontId="33" fillId="9" borderId="15" xfId="11" applyNumberFormat="1" applyFont="1" applyFill="1" applyBorder="1" applyAlignment="1">
      <alignment horizontal="center"/>
    </xf>
    <xf numFmtId="42" fontId="19" fillId="9" borderId="25" xfId="11" applyNumberFormat="1" applyFont="1" applyFill="1" applyBorder="1"/>
    <xf numFmtId="0" fontId="29" fillId="9" borderId="30" xfId="11" applyFont="1" applyFill="1" applyBorder="1"/>
    <xf numFmtId="169" fontId="29" fillId="9" borderId="15" xfId="11" applyNumberFormat="1" applyFont="1" applyFill="1" applyBorder="1"/>
    <xf numFmtId="4" fontId="29" fillId="9" borderId="15" xfId="11" applyNumberFormat="1" applyFont="1" applyFill="1" applyBorder="1" applyAlignment="1">
      <alignment horizontal="center"/>
    </xf>
    <xf numFmtId="42" fontId="29" fillId="9" borderId="25" xfId="11" applyNumberFormat="1" applyFont="1" applyFill="1" applyBorder="1"/>
    <xf numFmtId="0" fontId="18" fillId="12" borderId="0" xfId="0" applyFont="1" applyFill="1" applyAlignment="1">
      <alignment horizontal="left" wrapText="1"/>
    </xf>
    <xf numFmtId="0" fontId="19" fillId="9" borderId="0" xfId="11" applyFont="1" applyFill="1" applyAlignment="1">
      <alignment horizontal="center"/>
    </xf>
    <xf numFmtId="0" fontId="34" fillId="9" borderId="3" xfId="11" applyFont="1" applyFill="1" applyBorder="1"/>
    <xf numFmtId="0" fontId="28" fillId="12" borderId="35" xfId="0" applyFont="1" applyFill="1" applyBorder="1"/>
    <xf numFmtId="169" fontId="29" fillId="0" borderId="15" xfId="11" applyNumberFormat="1" applyFont="1" applyBorder="1"/>
    <xf numFmtId="4" fontId="29" fillId="0" borderId="15" xfId="11" applyNumberFormat="1" applyFont="1" applyBorder="1" applyAlignment="1">
      <alignment horizontal="center"/>
    </xf>
    <xf numFmtId="42" fontId="29" fillId="0" borderId="25" xfId="11" applyNumberFormat="1" applyFont="1" applyBorder="1"/>
    <xf numFmtId="0" fontId="18" fillId="12" borderId="0" xfId="0" applyFont="1" applyFill="1" applyAlignment="1">
      <alignment horizontal="left"/>
    </xf>
    <xf numFmtId="10" fontId="17" fillId="13" borderId="0" xfId="0" applyNumberFormat="1" applyFont="1" applyFill="1"/>
    <xf numFmtId="42" fontId="19" fillId="9" borderId="3" xfId="11" applyNumberFormat="1" applyFont="1" applyFill="1" applyBorder="1" applyAlignment="1">
      <alignment horizontal="right"/>
    </xf>
    <xf numFmtId="0" fontId="19" fillId="0" borderId="20" xfId="11" applyFont="1" applyBorder="1"/>
    <xf numFmtId="0" fontId="19" fillId="0" borderId="0" xfId="11" applyFont="1"/>
    <xf numFmtId="44" fontId="29" fillId="9" borderId="0" xfId="11" applyNumberFormat="1" applyFont="1" applyFill="1" applyAlignment="1">
      <alignment horizontal="center"/>
    </xf>
    <xf numFmtId="0" fontId="17" fillId="9" borderId="3" xfId="11" applyFont="1" applyFill="1" applyBorder="1"/>
    <xf numFmtId="10" fontId="28" fillId="0" borderId="0" xfId="0" applyNumberFormat="1" applyFont="1"/>
    <xf numFmtId="10" fontId="19" fillId="0" borderId="0" xfId="11" applyNumberFormat="1" applyFont="1" applyAlignment="1">
      <alignment horizontal="center"/>
    </xf>
    <xf numFmtId="42" fontId="19" fillId="0" borderId="3" xfId="11" applyNumberFormat="1" applyFont="1" applyBorder="1" applyAlignment="1">
      <alignment horizontal="right"/>
    </xf>
    <xf numFmtId="0" fontId="29" fillId="9" borderId="32" xfId="11" applyFont="1" applyFill="1" applyBorder="1"/>
    <xf numFmtId="0" fontId="29" fillId="9" borderId="35" xfId="11" applyFont="1" applyFill="1" applyBorder="1"/>
    <xf numFmtId="44" fontId="29" fillId="9" borderId="35" xfId="11" applyNumberFormat="1" applyFont="1" applyFill="1" applyBorder="1" applyAlignment="1">
      <alignment horizontal="center"/>
    </xf>
    <xf numFmtId="42" fontId="29" fillId="9" borderId="34" xfId="11" applyNumberFormat="1" applyFont="1" applyFill="1" applyBorder="1" applyAlignment="1">
      <alignment horizontal="right"/>
    </xf>
    <xf numFmtId="0" fontId="18" fillId="0" borderId="20" xfId="0" applyFont="1" applyBorder="1" applyAlignment="1">
      <alignment vertical="center"/>
    </xf>
    <xf numFmtId="42" fontId="18" fillId="0" borderId="27" xfId="11" applyNumberFormat="1" applyFont="1" applyBorder="1" applyAlignment="1">
      <alignment horizontal="center" vertical="center"/>
    </xf>
    <xf numFmtId="0" fontId="29" fillId="9" borderId="20" xfId="11" applyFont="1" applyFill="1" applyBorder="1"/>
    <xf numFmtId="0" fontId="29" fillId="9" borderId="0" xfId="11" applyFont="1" applyFill="1"/>
    <xf numFmtId="44" fontId="29" fillId="9" borderId="0" xfId="11" applyNumberFormat="1" applyFont="1" applyFill="1" applyAlignment="1">
      <alignment horizontal="right"/>
    </xf>
    <xf numFmtId="42" fontId="29" fillId="9" borderId="3" xfId="11" applyNumberFormat="1" applyFont="1" applyFill="1" applyBorder="1"/>
    <xf numFmtId="0" fontId="29" fillId="0" borderId="35" xfId="11" applyFont="1" applyBorder="1"/>
    <xf numFmtId="44" fontId="29" fillId="0" borderId="35" xfId="11" applyNumberFormat="1" applyFont="1" applyBorder="1" applyAlignment="1">
      <alignment horizontal="center"/>
    </xf>
    <xf numFmtId="42" fontId="29" fillId="0" borderId="34" xfId="11" applyNumberFormat="1" applyFont="1" applyBorder="1" applyAlignment="1">
      <alignment horizontal="right"/>
    </xf>
    <xf numFmtId="44" fontId="17" fillId="0" borderId="27" xfId="2" applyFont="1" applyBorder="1" applyAlignment="1">
      <alignment horizontal="center"/>
    </xf>
    <xf numFmtId="42" fontId="17" fillId="9" borderId="0" xfId="11" applyNumberFormat="1" applyFont="1" applyFill="1"/>
    <xf numFmtId="169" fontId="19" fillId="9" borderId="3" xfId="2" applyNumberFormat="1" applyFont="1" applyFill="1" applyBorder="1"/>
    <xf numFmtId="0" fontId="29" fillId="0" borderId="20" xfId="11" applyFont="1" applyBorder="1"/>
    <xf numFmtId="0" fontId="29" fillId="0" borderId="0" xfId="11" applyFont="1"/>
    <xf numFmtId="44" fontId="29" fillId="0" borderId="0" xfId="11" applyNumberFormat="1" applyFont="1" applyAlignment="1">
      <alignment horizontal="right"/>
    </xf>
    <xf numFmtId="42" fontId="29" fillId="0" borderId="3" xfId="11" applyNumberFormat="1" applyFont="1" applyBorder="1"/>
    <xf numFmtId="8" fontId="17" fillId="0" borderId="27" xfId="2" applyNumberFormat="1" applyFont="1" applyBorder="1" applyAlignment="1">
      <alignment horizontal="center"/>
    </xf>
    <xf numFmtId="44" fontId="19" fillId="9" borderId="0" xfId="11" applyNumberFormat="1" applyFont="1" applyFill="1" applyAlignment="1">
      <alignment horizontal="center"/>
    </xf>
    <xf numFmtId="0" fontId="19" fillId="0" borderId="20" xfId="0" applyFont="1" applyBorder="1"/>
    <xf numFmtId="42" fontId="17" fillId="0" borderId="0" xfId="11" applyNumberFormat="1" applyFont="1"/>
    <xf numFmtId="169" fontId="19" fillId="0" borderId="3" xfId="2" applyNumberFormat="1" applyFont="1" applyBorder="1"/>
    <xf numFmtId="10" fontId="17" fillId="12" borderId="27" xfId="3" applyNumberFormat="1" applyFont="1" applyFill="1" applyBorder="1" applyAlignment="1">
      <alignment horizontal="center"/>
    </xf>
    <xf numFmtId="169" fontId="19" fillId="9" borderId="3" xfId="2" applyNumberFormat="1" applyFont="1" applyFill="1" applyBorder="1" applyAlignment="1">
      <alignment horizontal="right"/>
    </xf>
    <xf numFmtId="0" fontId="19" fillId="12" borderId="20" xfId="0" applyFont="1" applyFill="1" applyBorder="1"/>
    <xf numFmtId="174" fontId="17" fillId="0" borderId="0" xfId="11" applyNumberFormat="1" applyFont="1"/>
    <xf numFmtId="169" fontId="19" fillId="12" borderId="3" xfId="2" applyNumberFormat="1" applyFont="1" applyFill="1" applyBorder="1"/>
    <xf numFmtId="10" fontId="17" fillId="12" borderId="27" xfId="0" applyNumberFormat="1" applyFont="1" applyFill="1" applyBorder="1" applyAlignment="1">
      <alignment horizontal="center"/>
    </xf>
    <xf numFmtId="0" fontId="29" fillId="9" borderId="35" xfId="11" applyFont="1" applyFill="1" applyBorder="1" applyAlignment="1">
      <alignment horizontal="center"/>
    </xf>
    <xf numFmtId="169" fontId="29" fillId="9" borderId="34" xfId="10" applyNumberFormat="1" applyFont="1" applyFill="1" applyBorder="1"/>
    <xf numFmtId="174" fontId="17" fillId="12" borderId="0" xfId="11" applyNumberFormat="1" applyFont="1" applyFill="1"/>
    <xf numFmtId="169" fontId="19" fillId="12" borderId="3" xfId="2" applyNumberFormat="1" applyFont="1" applyFill="1" applyBorder="1" applyAlignment="1">
      <alignment horizontal="right"/>
    </xf>
    <xf numFmtId="44" fontId="19" fillId="9" borderId="0" xfId="10" applyFont="1" applyFill="1" applyAlignment="1">
      <alignment horizontal="center"/>
    </xf>
    <xf numFmtId="10" fontId="22" fillId="9" borderId="0" xfId="12" applyNumberFormat="1" applyFont="1" applyFill="1" applyAlignment="1">
      <alignment horizontal="right"/>
    </xf>
    <xf numFmtId="0" fontId="29" fillId="12" borderId="32" xfId="11" applyFont="1" applyFill="1" applyBorder="1"/>
    <xf numFmtId="0" fontId="29" fillId="12" borderId="35" xfId="11" applyFont="1" applyFill="1" applyBorder="1"/>
    <xf numFmtId="0" fontId="29" fillId="12" borderId="35" xfId="11" applyFont="1" applyFill="1" applyBorder="1" applyAlignment="1">
      <alignment horizontal="center"/>
    </xf>
    <xf numFmtId="169" fontId="19" fillId="12" borderId="34" xfId="10" applyNumberFormat="1" applyFont="1" applyFill="1" applyBorder="1"/>
    <xf numFmtId="10" fontId="17" fillId="0" borderId="21" xfId="3" applyNumberFormat="1" applyFont="1" applyBorder="1" applyAlignment="1">
      <alignment horizontal="center"/>
    </xf>
    <xf numFmtId="0" fontId="29" fillId="9" borderId="49" xfId="11" applyFont="1" applyFill="1" applyBorder="1"/>
    <xf numFmtId="0" fontId="19" fillId="9" borderId="50" xfId="11" applyFont="1" applyFill="1" applyBorder="1"/>
    <xf numFmtId="0" fontId="19" fillId="9" borderId="50" xfId="11" applyFont="1" applyFill="1" applyBorder="1" applyAlignment="1">
      <alignment horizontal="center"/>
    </xf>
    <xf numFmtId="42" fontId="29" fillId="9" borderId="51" xfId="11" applyNumberFormat="1" applyFont="1" applyFill="1" applyBorder="1" applyAlignment="1">
      <alignment horizontal="right"/>
    </xf>
    <xf numFmtId="0" fontId="19" fillId="12" borderId="36" xfId="11" applyFont="1" applyFill="1" applyBorder="1"/>
    <xf numFmtId="0" fontId="19" fillId="12" borderId="37" xfId="11" applyFont="1" applyFill="1" applyBorder="1"/>
    <xf numFmtId="10" fontId="19" fillId="12" borderId="37" xfId="10" applyNumberFormat="1" applyFont="1" applyFill="1" applyBorder="1" applyAlignment="1">
      <alignment horizontal="center"/>
    </xf>
    <xf numFmtId="169" fontId="19" fillId="12" borderId="38" xfId="10" applyNumberFormat="1" applyFont="1" applyFill="1" applyBorder="1"/>
    <xf numFmtId="0" fontId="19" fillId="9" borderId="32" xfId="11" applyFont="1" applyFill="1" applyBorder="1"/>
    <xf numFmtId="10" fontId="33" fillId="9" borderId="35" xfId="11" applyNumberFormat="1" applyFont="1" applyFill="1" applyBorder="1" applyAlignment="1">
      <alignment horizontal="right"/>
    </xf>
    <xf numFmtId="0" fontId="19" fillId="9" borderId="35" xfId="11" applyFont="1" applyFill="1" applyBorder="1" applyAlignment="1">
      <alignment horizontal="center"/>
    </xf>
    <xf numFmtId="169" fontId="19" fillId="9" borderId="34" xfId="10" applyNumberFormat="1" applyFont="1" applyFill="1" applyBorder="1" applyAlignment="1">
      <alignment horizontal="right"/>
    </xf>
    <xf numFmtId="0" fontId="29" fillId="12" borderId="44" xfId="11" applyFont="1" applyFill="1" applyBorder="1"/>
    <xf numFmtId="0" fontId="19" fillId="12" borderId="52" xfId="11" applyFont="1" applyFill="1" applyBorder="1"/>
    <xf numFmtId="0" fontId="19" fillId="12" borderId="52" xfId="11" applyFont="1" applyFill="1" applyBorder="1" applyAlignment="1">
      <alignment horizontal="center"/>
    </xf>
    <xf numFmtId="42" fontId="19" fillId="12" borderId="53" xfId="11" applyNumberFormat="1" applyFont="1" applyFill="1" applyBorder="1" applyAlignment="1">
      <alignment horizontal="right"/>
    </xf>
    <xf numFmtId="0" fontId="19" fillId="12" borderId="32" xfId="11" applyFont="1" applyFill="1" applyBorder="1"/>
    <xf numFmtId="0" fontId="19" fillId="12" borderId="35" xfId="11" applyFont="1" applyFill="1" applyBorder="1"/>
    <xf numFmtId="10" fontId="19" fillId="12" borderId="35" xfId="11" applyNumberFormat="1" applyFont="1" applyFill="1" applyBorder="1" applyAlignment="1">
      <alignment horizontal="center"/>
    </xf>
    <xf numFmtId="42" fontId="19" fillId="12" borderId="34" xfId="11" applyNumberFormat="1" applyFont="1" applyFill="1" applyBorder="1" applyAlignment="1">
      <alignment horizontal="right"/>
    </xf>
    <xf numFmtId="170" fontId="18" fillId="9" borderId="19" xfId="11" applyNumberFormat="1" applyFont="1" applyFill="1" applyBorder="1"/>
    <xf numFmtId="9" fontId="19" fillId="9" borderId="4" xfId="11" applyNumberFormat="1" applyFont="1" applyFill="1" applyBorder="1"/>
    <xf numFmtId="44" fontId="19" fillId="9" borderId="4" xfId="10" applyFont="1" applyFill="1" applyBorder="1" applyAlignment="1">
      <alignment horizontal="center"/>
    </xf>
    <xf numFmtId="44" fontId="29" fillId="9" borderId="42" xfId="10" applyFont="1" applyFill="1" applyBorder="1" applyAlignment="1">
      <alignment horizontal="right"/>
    </xf>
    <xf numFmtId="10" fontId="19" fillId="12" borderId="0" xfId="11" applyNumberFormat="1" applyFont="1" applyFill="1" applyAlignment="1">
      <alignment horizontal="center"/>
    </xf>
    <xf numFmtId="0" fontId="19" fillId="12" borderId="21" xfId="11" applyFont="1" applyFill="1" applyBorder="1"/>
    <xf numFmtId="0" fontId="19" fillId="12" borderId="22" xfId="11" applyFont="1" applyFill="1" applyBorder="1"/>
    <xf numFmtId="44" fontId="19" fillId="12" borderId="22" xfId="10" applyFont="1" applyFill="1" applyBorder="1" applyAlignment="1">
      <alignment horizontal="center"/>
    </xf>
    <xf numFmtId="44" fontId="19" fillId="12" borderId="23" xfId="10" applyFont="1" applyFill="1" applyBorder="1"/>
    <xf numFmtId="170" fontId="18" fillId="12" borderId="21" xfId="11" applyNumberFormat="1" applyFont="1" applyFill="1" applyBorder="1"/>
    <xf numFmtId="9" fontId="19" fillId="12" borderId="22" xfId="11" applyNumberFormat="1" applyFont="1" applyFill="1" applyBorder="1"/>
    <xf numFmtId="44" fontId="29" fillId="8" borderId="42" xfId="10" applyFont="1" applyFill="1" applyBorder="1" applyAlignment="1">
      <alignment horizontal="right"/>
    </xf>
    <xf numFmtId="43" fontId="17" fillId="0" borderId="0" xfId="0" applyNumberFormat="1" applyFont="1"/>
    <xf numFmtId="0" fontId="17" fillId="0" borderId="0" xfId="11" applyFont="1"/>
    <xf numFmtId="0" fontId="2" fillId="0" borderId="0" xfId="0" applyFont="1"/>
    <xf numFmtId="0" fontId="3" fillId="0" borderId="0" xfId="0" applyFont="1"/>
    <xf numFmtId="0" fontId="37" fillId="0" borderId="0" xfId="0" applyFont="1"/>
    <xf numFmtId="0" fontId="37" fillId="0" borderId="0" xfId="0" applyFont="1" applyAlignment="1">
      <alignment wrapText="1"/>
    </xf>
    <xf numFmtId="0" fontId="38" fillId="14" borderId="17" xfId="0" applyFont="1" applyFill="1" applyBorder="1"/>
    <xf numFmtId="0" fontId="38" fillId="14" borderId="1" xfId="0" applyFont="1" applyFill="1" applyBorder="1"/>
    <xf numFmtId="0" fontId="38" fillId="14" borderId="2" xfId="0" applyFont="1" applyFill="1" applyBorder="1"/>
    <xf numFmtId="0" fontId="39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4" fillId="0" borderId="20" xfId="0" applyFont="1" applyBorder="1"/>
    <xf numFmtId="0" fontId="41" fillId="0" borderId="0" xfId="0" applyFont="1"/>
    <xf numFmtId="0" fontId="45" fillId="0" borderId="3" xfId="0" applyFont="1" applyBorder="1" applyAlignment="1">
      <alignment wrapText="1"/>
    </xf>
    <xf numFmtId="0" fontId="42" fillId="0" borderId="20" xfId="0" applyFont="1" applyBorder="1"/>
    <xf numFmtId="0" fontId="42" fillId="0" borderId="0" xfId="0" applyFont="1" applyAlignment="1">
      <alignment horizontal="left"/>
    </xf>
    <xf numFmtId="0" fontId="42" fillId="0" borderId="0" xfId="0" applyFont="1"/>
    <xf numFmtId="3" fontId="42" fillId="0" borderId="3" xfId="0" applyNumberFormat="1" applyFont="1" applyBorder="1"/>
    <xf numFmtId="0" fontId="3" fillId="0" borderId="20" xfId="0" applyFont="1" applyBorder="1"/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7" xfId="0" applyFont="1" applyBorder="1"/>
    <xf numFmtId="0" fontId="38" fillId="0" borderId="1" xfId="0" applyFont="1" applyBorder="1"/>
    <xf numFmtId="42" fontId="38" fillId="0" borderId="1" xfId="0" applyNumberFormat="1" applyFont="1" applyBorder="1"/>
    <xf numFmtId="4" fontId="38" fillId="0" borderId="1" xfId="0" applyNumberFormat="1" applyFont="1" applyBorder="1"/>
    <xf numFmtId="42" fontId="38" fillId="0" borderId="2" xfId="0" applyNumberFormat="1" applyFont="1" applyBorder="1"/>
    <xf numFmtId="0" fontId="38" fillId="0" borderId="20" xfId="0" applyFont="1" applyBorder="1"/>
    <xf numFmtId="0" fontId="38" fillId="0" borderId="0" xfId="0" applyFont="1"/>
    <xf numFmtId="42" fontId="38" fillId="0" borderId="0" xfId="0" applyNumberFormat="1" applyFont="1"/>
    <xf numFmtId="4" fontId="38" fillId="0" borderId="0" xfId="0" applyNumberFormat="1" applyFont="1"/>
    <xf numFmtId="42" fontId="38" fillId="0" borderId="3" xfId="0" applyNumberFormat="1" applyFont="1" applyBorder="1"/>
    <xf numFmtId="0" fontId="43" fillId="0" borderId="20" xfId="0" applyFont="1" applyBorder="1"/>
    <xf numFmtId="0" fontId="43" fillId="0" borderId="0" xfId="0" applyFont="1"/>
    <xf numFmtId="42" fontId="43" fillId="0" borderId="0" xfId="0" applyNumberFormat="1" applyFont="1"/>
    <xf numFmtId="4" fontId="43" fillId="0" borderId="0" xfId="0" applyNumberFormat="1" applyFont="1"/>
    <xf numFmtId="42" fontId="43" fillId="0" borderId="3" xfId="0" applyNumberFormat="1" applyFont="1" applyBorder="1"/>
    <xf numFmtId="0" fontId="38" fillId="0" borderId="19" xfId="0" applyFont="1" applyBorder="1"/>
    <xf numFmtId="0" fontId="38" fillId="0" borderId="4" xfId="0" applyFont="1" applyBorder="1"/>
    <xf numFmtId="42" fontId="38" fillId="0" borderId="4" xfId="0" applyNumberFormat="1" applyFont="1" applyBorder="1"/>
    <xf numFmtId="176" fontId="38" fillId="0" borderId="4" xfId="0" applyNumberFormat="1" applyFont="1" applyBorder="1"/>
    <xf numFmtId="0" fontId="42" fillId="0" borderId="21" xfId="0" applyFont="1" applyBorder="1"/>
    <xf numFmtId="0" fontId="42" fillId="0" borderId="22" xfId="0" applyFont="1" applyBorder="1"/>
    <xf numFmtId="176" fontId="42" fillId="0" borderId="22" xfId="0" applyNumberFormat="1" applyFont="1" applyBorder="1"/>
    <xf numFmtId="42" fontId="42" fillId="0" borderId="23" xfId="0" applyNumberFormat="1" applyFont="1" applyBorder="1"/>
    <xf numFmtId="4" fontId="42" fillId="0" borderId="22" xfId="0" applyNumberFormat="1" applyFont="1" applyBorder="1"/>
    <xf numFmtId="0" fontId="38" fillId="0" borderId="3" xfId="0" applyFont="1" applyBorder="1"/>
    <xf numFmtId="10" fontId="38" fillId="0" borderId="0" xfId="0" applyNumberFormat="1" applyFont="1"/>
    <xf numFmtId="10" fontId="3" fillId="0" borderId="0" xfId="0" applyNumberFormat="1" applyFont="1"/>
    <xf numFmtId="0" fontId="42" fillId="0" borderId="32" xfId="0" applyFont="1" applyBorder="1"/>
    <xf numFmtId="0" fontId="42" fillId="0" borderId="35" xfId="0" applyFont="1" applyBorder="1"/>
    <xf numFmtId="44" fontId="42" fillId="0" borderId="35" xfId="0" applyNumberFormat="1" applyFont="1" applyBorder="1"/>
    <xf numFmtId="42" fontId="42" fillId="0" borderId="34" xfId="0" applyNumberFormat="1" applyFont="1" applyBorder="1"/>
    <xf numFmtId="44" fontId="3" fillId="0" borderId="0" xfId="13" applyFont="1"/>
    <xf numFmtId="44" fontId="38" fillId="0" borderId="0" xfId="0" applyNumberFormat="1" applyFont="1"/>
    <xf numFmtId="169" fontId="38" fillId="0" borderId="3" xfId="0" applyNumberFormat="1" applyFont="1" applyBorder="1"/>
    <xf numFmtId="169" fontId="38" fillId="0" borderId="0" xfId="0" applyNumberFormat="1" applyFont="1"/>
    <xf numFmtId="0" fontId="3" fillId="0" borderId="19" xfId="0" applyFont="1" applyBorder="1"/>
    <xf numFmtId="177" fontId="3" fillId="0" borderId="4" xfId="9" applyNumberFormat="1" applyFont="1" applyBorder="1"/>
    <xf numFmtId="0" fontId="45" fillId="0" borderId="5" xfId="0" applyFont="1" applyBorder="1" applyAlignment="1">
      <alignment wrapText="1"/>
    </xf>
    <xf numFmtId="175" fontId="3" fillId="0" borderId="0" xfId="1" applyNumberFormat="1" applyFont="1"/>
    <xf numFmtId="0" fontId="45" fillId="0" borderId="0" xfId="0" applyFont="1" applyAlignment="1">
      <alignment wrapText="1"/>
    </xf>
    <xf numFmtId="9" fontId="3" fillId="0" borderId="0" xfId="9" applyFont="1"/>
    <xf numFmtId="0" fontId="42" fillId="0" borderId="49" xfId="0" applyFont="1" applyBorder="1"/>
    <xf numFmtId="0" fontId="38" fillId="0" borderId="50" xfId="0" applyFont="1" applyBorder="1"/>
    <xf numFmtId="42" fontId="42" fillId="0" borderId="51" xfId="0" applyNumberFormat="1" applyFont="1" applyBorder="1"/>
    <xf numFmtId="0" fontId="38" fillId="0" borderId="21" xfId="0" applyFont="1" applyBorder="1"/>
    <xf numFmtId="0" fontId="42" fillId="0" borderId="22" xfId="0" applyFont="1" applyBorder="1" applyAlignment="1">
      <alignment horizontal="center"/>
    </xf>
    <xf numFmtId="10" fontId="42" fillId="0" borderId="22" xfId="0" applyNumberFormat="1" applyFont="1" applyBorder="1"/>
    <xf numFmtId="44" fontId="42" fillId="0" borderId="22" xfId="13" applyFont="1" applyBorder="1"/>
    <xf numFmtId="44" fontId="38" fillId="0" borderId="23" xfId="13" applyFont="1" applyBorder="1"/>
    <xf numFmtId="0" fontId="39" fillId="0" borderId="22" xfId="0" applyFont="1" applyBorder="1"/>
    <xf numFmtId="9" fontId="39" fillId="0" borderId="22" xfId="0" applyNumberFormat="1" applyFont="1" applyBorder="1"/>
    <xf numFmtId="44" fontId="42" fillId="8" borderId="23" xfId="13" applyFont="1" applyFill="1" applyBorder="1"/>
    <xf numFmtId="8" fontId="0" fillId="0" borderId="0" xfId="0" applyNumberFormat="1"/>
    <xf numFmtId="0" fontId="46" fillId="0" borderId="19" xfId="0" applyFont="1" applyBorder="1"/>
    <xf numFmtId="0" fontId="46" fillId="0" borderId="4" xfId="0" applyFont="1" applyBorder="1"/>
    <xf numFmtId="44" fontId="42" fillId="0" borderId="4" xfId="13" applyFont="1" applyBorder="1"/>
    <xf numFmtId="44" fontId="3" fillId="0" borderId="0" xfId="0" applyNumberFormat="1" applyFont="1"/>
    <xf numFmtId="169" fontId="42" fillId="8" borderId="5" xfId="13" applyNumberFormat="1" applyFont="1" applyFill="1" applyBorder="1"/>
    <xf numFmtId="10" fontId="1" fillId="0" borderId="0" xfId="14" applyNumberFormat="1" applyFont="1"/>
    <xf numFmtId="44" fontId="0" fillId="0" borderId="0" xfId="0" applyNumberFormat="1"/>
    <xf numFmtId="44" fontId="6" fillId="0" borderId="0" xfId="13" applyFont="1"/>
    <xf numFmtId="168" fontId="0" fillId="0" borderId="0" xfId="0" applyNumberFormat="1"/>
    <xf numFmtId="178" fontId="0" fillId="0" borderId="0" xfId="0" applyNumberFormat="1"/>
    <xf numFmtId="10" fontId="0" fillId="0" borderId="0" xfId="14" applyNumberFormat="1" applyFont="1"/>
    <xf numFmtId="10" fontId="6" fillId="0" borderId="0" xfId="14" applyNumberFormat="1" applyFont="1" applyAlignment="1">
      <alignment horizontal="right"/>
    </xf>
    <xf numFmtId="44" fontId="6" fillId="0" borderId="0" xfId="0" applyNumberFormat="1" applyFont="1"/>
    <xf numFmtId="44" fontId="41" fillId="0" borderId="0" xfId="0" applyNumberFormat="1" applyFont="1"/>
    <xf numFmtId="44" fontId="1" fillId="0" borderId="0" xfId="13"/>
    <xf numFmtId="10" fontId="1" fillId="0" borderId="0" xfId="9" applyNumberFormat="1"/>
    <xf numFmtId="177" fontId="1" fillId="0" borderId="0" xfId="9" applyNumberFormat="1"/>
    <xf numFmtId="0" fontId="47" fillId="0" borderId="0" xfId="0" applyFont="1"/>
    <xf numFmtId="169" fontId="17" fillId="0" borderId="29" xfId="0" applyNumberFormat="1" applyFont="1" applyBorder="1"/>
    <xf numFmtId="169" fontId="17" fillId="0" borderId="25" xfId="2" applyNumberFormat="1" applyFont="1" applyBorder="1" applyAlignment="1">
      <alignment horizontal="center"/>
    </xf>
    <xf numFmtId="0" fontId="18" fillId="0" borderId="28" xfId="0" applyFont="1" applyBorder="1" applyAlignment="1">
      <alignment vertical="top"/>
    </xf>
    <xf numFmtId="0" fontId="18" fillId="0" borderId="20" xfId="0" applyFont="1" applyBorder="1" applyAlignment="1">
      <alignment vertical="top"/>
    </xf>
    <xf numFmtId="0" fontId="18" fillId="0" borderId="30" xfId="0" applyFont="1" applyBorder="1" applyAlignment="1">
      <alignment vertical="top"/>
    </xf>
    <xf numFmtId="0" fontId="28" fillId="0" borderId="35" xfId="0" applyFont="1" applyBorder="1" applyAlignment="1">
      <alignment horizontal="center"/>
    </xf>
    <xf numFmtId="4" fontId="28" fillId="0" borderId="35" xfId="0" applyNumberFormat="1" applyFont="1" applyBorder="1" applyAlignment="1">
      <alignment horizontal="center"/>
    </xf>
    <xf numFmtId="169" fontId="28" fillId="0" borderId="34" xfId="2" applyNumberFormat="1" applyFont="1" applyBorder="1" applyAlignment="1">
      <alignment horizontal="center"/>
    </xf>
    <xf numFmtId="10" fontId="17" fillId="0" borderId="0" xfId="3" applyNumberFormat="1" applyFont="1" applyBorder="1" applyAlignment="1">
      <alignment horizontal="center"/>
    </xf>
    <xf numFmtId="44" fontId="21" fillId="8" borderId="41" xfId="10" applyFont="1" applyFill="1" applyBorder="1"/>
    <xf numFmtId="169" fontId="28" fillId="0" borderId="8" xfId="0" applyNumberFormat="1" applyFont="1" applyBorder="1"/>
    <xf numFmtId="169" fontId="17" fillId="0" borderId="0" xfId="2" applyNumberFormat="1" applyFont="1" applyBorder="1"/>
    <xf numFmtId="0" fontId="18" fillId="0" borderId="20" xfId="0" applyFont="1" applyBorder="1" applyAlignment="1">
      <alignment vertical="top" wrapText="1"/>
    </xf>
    <xf numFmtId="44" fontId="17" fillId="0" borderId="3" xfId="0" applyNumberFormat="1" applyFont="1" applyBorder="1"/>
    <xf numFmtId="169" fontId="28" fillId="9" borderId="29" xfId="0" applyNumberFormat="1" applyFont="1" applyFill="1" applyBorder="1"/>
    <xf numFmtId="10" fontId="26" fillId="12" borderId="1" xfId="0" applyNumberFormat="1" applyFont="1" applyFill="1" applyBorder="1" applyAlignment="1">
      <alignment horizontal="center"/>
    </xf>
    <xf numFmtId="0" fontId="28" fillId="9" borderId="0" xfId="0" applyFont="1" applyFill="1"/>
    <xf numFmtId="169" fontId="28" fillId="9" borderId="0" xfId="0" applyNumberFormat="1" applyFont="1" applyFill="1"/>
    <xf numFmtId="10" fontId="17" fillId="12" borderId="0" xfId="3" applyNumberFormat="1" applyFont="1" applyFill="1" applyBorder="1"/>
    <xf numFmtId="169" fontId="17" fillId="9" borderId="0" xfId="2" applyNumberFormat="1" applyFont="1" applyFill="1" applyBorder="1" applyAlignment="1">
      <alignment horizontal="right"/>
    </xf>
    <xf numFmtId="169" fontId="17" fillId="9" borderId="0" xfId="2" applyNumberFormat="1" applyFont="1" applyFill="1" applyBorder="1"/>
    <xf numFmtId="169" fontId="17" fillId="9" borderId="0" xfId="2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top" wrapText="1" readingOrder="1"/>
    </xf>
    <xf numFmtId="169" fontId="17" fillId="9" borderId="0" xfId="0" applyNumberFormat="1" applyFont="1" applyFill="1"/>
    <xf numFmtId="0" fontId="21" fillId="0" borderId="0" xfId="0" applyFont="1" applyAlignment="1">
      <alignment vertical="top" wrapText="1"/>
    </xf>
    <xf numFmtId="10" fontId="17" fillId="9" borderId="0" xfId="3" applyNumberFormat="1" applyFont="1" applyFill="1" applyBorder="1"/>
    <xf numFmtId="0" fontId="28" fillId="0" borderId="0" xfId="0" applyFont="1"/>
    <xf numFmtId="0" fontId="29" fillId="9" borderId="0" xfId="0" applyFont="1" applyFill="1"/>
    <xf numFmtId="44" fontId="19" fillId="9" borderId="0" xfId="10" applyFont="1" applyFill="1" applyBorder="1"/>
    <xf numFmtId="170" fontId="18" fillId="9" borderId="0" xfId="0" applyNumberFormat="1" applyFont="1" applyFill="1"/>
    <xf numFmtId="9" fontId="18" fillId="9" borderId="0" xfId="0" applyNumberFormat="1" applyFont="1" applyFill="1" applyAlignment="1">
      <alignment horizontal="center"/>
    </xf>
    <xf numFmtId="44" fontId="18" fillId="9" borderId="0" xfId="10" applyFont="1" applyFill="1" applyBorder="1"/>
    <xf numFmtId="44" fontId="21" fillId="9" borderId="0" xfId="10" applyFont="1" applyFill="1" applyBorder="1"/>
    <xf numFmtId="44" fontId="18" fillId="0" borderId="1" xfId="0" applyNumberFormat="1" applyFont="1" applyBorder="1"/>
    <xf numFmtId="0" fontId="26" fillId="12" borderId="1" xfId="0" applyFont="1" applyFill="1" applyBorder="1"/>
    <xf numFmtId="44" fontId="21" fillId="8" borderId="23" xfId="0" applyNumberFormat="1" applyFont="1" applyFill="1" applyBorder="1"/>
    <xf numFmtId="44" fontId="17" fillId="0" borderId="46" xfId="0" applyNumberFormat="1" applyFont="1" applyBorder="1"/>
    <xf numFmtId="0" fontId="28" fillId="12" borderId="43" xfId="0" applyFont="1" applyFill="1" applyBorder="1" applyAlignment="1">
      <alignment horizontal="center"/>
    </xf>
    <xf numFmtId="0" fontId="18" fillId="0" borderId="0" xfId="0" applyFont="1" applyAlignment="1">
      <alignment vertical="top"/>
    </xf>
    <xf numFmtId="169" fontId="21" fillId="0" borderId="3" xfId="0" applyNumberFormat="1" applyFont="1" applyBorder="1"/>
    <xf numFmtId="0" fontId="28" fillId="12" borderId="15" xfId="0" applyFont="1" applyFill="1" applyBorder="1"/>
    <xf numFmtId="42" fontId="18" fillId="12" borderId="15" xfId="11" applyNumberFormat="1" applyFont="1" applyFill="1" applyBorder="1"/>
    <xf numFmtId="4" fontId="18" fillId="12" borderId="15" xfId="11" applyNumberFormat="1" applyFont="1" applyFill="1" applyBorder="1" applyAlignment="1">
      <alignment horizontal="center"/>
    </xf>
    <xf numFmtId="42" fontId="19" fillId="12" borderId="25" xfId="11" applyNumberFormat="1" applyFont="1" applyFill="1" applyBorder="1"/>
    <xf numFmtId="169" fontId="19" fillId="12" borderId="3" xfId="2" applyNumberFormat="1" applyFont="1" applyFill="1" applyBorder="1" applyAlignment="1">
      <alignment horizontal="center"/>
    </xf>
    <xf numFmtId="169" fontId="18" fillId="0" borderId="3" xfId="11" applyNumberFormat="1" applyFont="1" applyBorder="1"/>
    <xf numFmtId="0" fontId="28" fillId="12" borderId="34" xfId="0" applyFont="1" applyFill="1" applyBorder="1" applyAlignment="1">
      <alignment horizontal="center"/>
    </xf>
    <xf numFmtId="42" fontId="29" fillId="12" borderId="3" xfId="11" applyNumberFormat="1" applyFont="1" applyFill="1" applyBorder="1" applyAlignment="1">
      <alignment horizontal="right"/>
    </xf>
    <xf numFmtId="0" fontId="17" fillId="0" borderId="42" xfId="0" applyFont="1" applyBorder="1"/>
    <xf numFmtId="43" fontId="3" fillId="0" borderId="0" xfId="1" applyFont="1"/>
    <xf numFmtId="43" fontId="3" fillId="0" borderId="0" xfId="1" applyFont="1" applyFill="1"/>
    <xf numFmtId="0" fontId="18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40" fillId="15" borderId="21" xfId="0" applyFont="1" applyFill="1" applyBorder="1" applyAlignment="1">
      <alignment horizontal="center"/>
    </xf>
    <xf numFmtId="42" fontId="40" fillId="15" borderId="22" xfId="0" applyNumberFormat="1" applyFont="1" applyFill="1" applyBorder="1" applyAlignment="1">
      <alignment horizontal="center"/>
    </xf>
    <xf numFmtId="0" fontId="50" fillId="15" borderId="23" xfId="0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left"/>
    </xf>
    <xf numFmtId="0" fontId="4" fillId="2" borderId="2" xfId="4" applyFont="1" applyFill="1" applyBorder="1" applyAlignment="1">
      <alignment horizontal="left"/>
    </xf>
    <xf numFmtId="0" fontId="9" fillId="0" borderId="9" xfId="6" applyBorder="1" applyAlignment="1">
      <alignment horizontal="right"/>
    </xf>
    <xf numFmtId="0" fontId="9" fillId="0" borderId="0" xfId="6" applyAlignment="1">
      <alignment horizontal="right"/>
    </xf>
    <xf numFmtId="0" fontId="13" fillId="0" borderId="2" xfId="8" applyFont="1" applyBorder="1" applyAlignment="1">
      <alignment horizontal="left" vertical="center" wrapText="1"/>
    </xf>
    <xf numFmtId="0" fontId="13" fillId="0" borderId="5" xfId="8" applyFont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top" wrapText="1"/>
    </xf>
    <xf numFmtId="0" fontId="13" fillId="0" borderId="4" xfId="8" applyFont="1" applyBorder="1" applyAlignment="1">
      <alignment horizontal="left" vertical="top" wrapText="1"/>
    </xf>
    <xf numFmtId="0" fontId="13" fillId="0" borderId="3" xfId="8" applyFont="1" applyBorder="1" applyAlignment="1">
      <alignment horizontal="left" vertical="center" wrapText="1"/>
    </xf>
    <xf numFmtId="49" fontId="13" fillId="0" borderId="2" xfId="8" applyNumberFormat="1" applyFont="1" applyBorder="1" applyAlignment="1">
      <alignment horizontal="left" vertical="center" wrapText="1"/>
    </xf>
    <xf numFmtId="49" fontId="13" fillId="0" borderId="5" xfId="8" applyNumberFormat="1" applyFont="1" applyBorder="1" applyAlignment="1">
      <alignment horizontal="left" vertical="center" wrapText="1"/>
    </xf>
    <xf numFmtId="0" fontId="13" fillId="0" borderId="1" xfId="8" applyFont="1" applyBorder="1" applyAlignment="1">
      <alignment vertical="top" wrapText="1"/>
    </xf>
    <xf numFmtId="0" fontId="13" fillId="0" borderId="4" xfId="8" applyFont="1" applyBorder="1" applyAlignment="1">
      <alignment vertical="top" wrapText="1"/>
    </xf>
    <xf numFmtId="0" fontId="13" fillId="0" borderId="0" xfId="8" applyFont="1" applyAlignment="1">
      <alignment horizontal="left" vertical="top" wrapText="1"/>
    </xf>
    <xf numFmtId="0" fontId="13" fillId="0" borderId="0" xfId="8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7" fillId="9" borderId="21" xfId="0" applyFont="1" applyFill="1" applyBorder="1" applyAlignment="1">
      <alignment horizontal="center"/>
    </xf>
    <xf numFmtId="0" fontId="17" fillId="9" borderId="22" xfId="0" applyFont="1" applyFill="1" applyBorder="1" applyAlignment="1">
      <alignment horizontal="center"/>
    </xf>
    <xf numFmtId="0" fontId="17" fillId="9" borderId="23" xfId="0" applyFont="1" applyFill="1" applyBorder="1" applyAlignment="1">
      <alignment horizont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23" xfId="0" applyFont="1" applyFill="1" applyBorder="1" applyAlignment="1">
      <alignment horizontal="center"/>
    </xf>
    <xf numFmtId="0" fontId="18" fillId="11" borderId="21" xfId="0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top" wrapText="1" readingOrder="1"/>
    </xf>
    <xf numFmtId="0" fontId="20" fillId="12" borderId="33" xfId="0" applyFont="1" applyFill="1" applyBorder="1" applyAlignment="1">
      <alignment horizontal="center" vertical="top" wrapText="1" readingOrder="1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8" fillId="9" borderId="2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8" fillId="10" borderId="21" xfId="0" applyFont="1" applyFill="1" applyBorder="1" applyAlignment="1">
      <alignment horizontal="center"/>
    </xf>
    <xf numFmtId="0" fontId="28" fillId="10" borderId="22" xfId="0" applyFont="1" applyFill="1" applyBorder="1" applyAlignment="1">
      <alignment horizontal="center"/>
    </xf>
    <xf numFmtId="0" fontId="28" fillId="10" borderId="23" xfId="0" applyFont="1" applyFill="1" applyBorder="1" applyAlignment="1">
      <alignment horizontal="center"/>
    </xf>
    <xf numFmtId="0" fontId="21" fillId="11" borderId="21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1" borderId="23" xfId="0" applyFont="1" applyFill="1" applyBorder="1" applyAlignment="1">
      <alignment horizontal="center" vertical="center"/>
    </xf>
    <xf numFmtId="0" fontId="30" fillId="12" borderId="32" xfId="0" applyFont="1" applyFill="1" applyBorder="1" applyAlignment="1">
      <alignment horizontal="center" vertical="top" wrapText="1" readingOrder="1"/>
    </xf>
    <xf numFmtId="0" fontId="30" fillId="12" borderId="33" xfId="0" applyFont="1" applyFill="1" applyBorder="1" applyAlignment="1">
      <alignment horizontal="center" vertical="top" wrapText="1" readingOrder="1"/>
    </xf>
    <xf numFmtId="0" fontId="30" fillId="0" borderId="32" xfId="0" applyFont="1" applyBorder="1" applyAlignment="1">
      <alignment horizontal="center" vertical="top" wrapText="1" readingOrder="1"/>
    </xf>
    <xf numFmtId="0" fontId="30" fillId="0" borderId="33" xfId="0" applyFont="1" applyBorder="1" applyAlignment="1">
      <alignment horizontal="center" vertical="top" wrapText="1" readingOrder="1"/>
    </xf>
    <xf numFmtId="0" fontId="30" fillId="0" borderId="32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29" fillId="9" borderId="21" xfId="11" applyFont="1" applyFill="1" applyBorder="1" applyAlignment="1">
      <alignment horizontal="center"/>
    </xf>
    <xf numFmtId="0" fontId="29" fillId="9" borderId="22" xfId="11" applyFont="1" applyFill="1" applyBorder="1" applyAlignment="1">
      <alignment horizontal="center"/>
    </xf>
    <xf numFmtId="0" fontId="29" fillId="9" borderId="23" xfId="11" applyFont="1" applyFill="1" applyBorder="1" applyAlignment="1">
      <alignment horizontal="center"/>
    </xf>
    <xf numFmtId="0" fontId="29" fillId="10" borderId="21" xfId="11" applyFont="1" applyFill="1" applyBorder="1" applyAlignment="1">
      <alignment horizontal="center"/>
    </xf>
    <xf numFmtId="0" fontId="29" fillId="10" borderId="22" xfId="11" applyFont="1" applyFill="1" applyBorder="1" applyAlignment="1">
      <alignment horizontal="center"/>
    </xf>
    <xf numFmtId="0" fontId="29" fillId="10" borderId="23" xfId="11" applyFont="1" applyFill="1" applyBorder="1" applyAlignment="1">
      <alignment horizontal="center"/>
    </xf>
    <xf numFmtId="0" fontId="40" fillId="14" borderId="21" xfId="0" applyFont="1" applyFill="1" applyBorder="1" applyAlignment="1">
      <alignment horizontal="center"/>
    </xf>
    <xf numFmtId="0" fontId="40" fillId="14" borderId="22" xfId="0" applyFont="1" applyFill="1" applyBorder="1" applyAlignment="1">
      <alignment horizontal="center"/>
    </xf>
    <xf numFmtId="0" fontId="40" fillId="14" borderId="23" xfId="0" applyFont="1" applyFill="1" applyBorder="1" applyAlignment="1">
      <alignment horizontal="center"/>
    </xf>
    <xf numFmtId="0" fontId="42" fillId="14" borderId="19" xfId="0" applyFont="1" applyFill="1" applyBorder="1" applyAlignment="1">
      <alignment horizontal="center"/>
    </xf>
    <xf numFmtId="0" fontId="42" fillId="14" borderId="4" xfId="0" applyFont="1" applyFill="1" applyBorder="1" applyAlignment="1">
      <alignment horizontal="center"/>
    </xf>
    <xf numFmtId="0" fontId="42" fillId="14" borderId="5" xfId="0" applyFont="1" applyFill="1" applyBorder="1" applyAlignment="1">
      <alignment horizontal="center"/>
    </xf>
  </cellXfs>
  <cellStyles count="17">
    <cellStyle name="Comma" xfId="1" builtinId="3"/>
    <cellStyle name="Comma 2" xfId="16" xr:uid="{F40D786D-3344-4992-941D-CEFF2A237DA1}"/>
    <cellStyle name="Currency" xfId="2" builtinId="4"/>
    <cellStyle name="Currency 2 2 2" xfId="13" xr:uid="{D8D96372-30C8-4A16-81BB-A1A8A61CC771}"/>
    <cellStyle name="Currency 4" xfId="10" xr:uid="{5CC971BD-BA0D-4E7A-A8F2-36E25617CE59}"/>
    <cellStyle name="Normal" xfId="0" builtinId="0"/>
    <cellStyle name="Normal 10" xfId="4" xr:uid="{E04F09DB-94B0-4504-81CB-983F1894530E}"/>
    <cellStyle name="Normal 2" xfId="15" xr:uid="{6B327723-E691-4BD5-837D-0B5FD8ECD835}"/>
    <cellStyle name="Normal 3" xfId="11" xr:uid="{9BC19485-0EEF-4F9F-981B-970030391AEF}"/>
    <cellStyle name="Normal 4 5" xfId="6" xr:uid="{B8465C34-F1EA-4BBA-9D48-F70AE651F4AA}"/>
    <cellStyle name="Normal 5 3 3" xfId="8" xr:uid="{DD410985-02B3-487E-8411-C8CA4CA51599}"/>
    <cellStyle name="Normal 6 2" xfId="5" xr:uid="{C45273C4-1813-48CB-A036-1E30AA2617E2}"/>
    <cellStyle name="Percent" xfId="3" builtinId="5"/>
    <cellStyle name="Percent 10 2" xfId="9" xr:uid="{AC679B5E-ADE3-4186-94D0-E2976E114C58}"/>
    <cellStyle name="Percent 2" xfId="14" xr:uid="{359A3958-86EF-40F5-AE06-74640B4E4C61}"/>
    <cellStyle name="Percent 2 2" xfId="7" xr:uid="{9F749761-ABB6-4CCA-B847-5A615E9E437A}"/>
    <cellStyle name="Percent 5" xfId="12" xr:uid="{E31CC38F-6DB0-4ADE-A38A-FC5BB9EE5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15</xdr:row>
      <xdr:rowOff>114300</xdr:rowOff>
    </xdr:from>
    <xdr:to>
      <xdr:col>13</xdr:col>
      <xdr:colOff>190500</xdr:colOff>
      <xdr:row>25</xdr:row>
      <xdr:rowOff>76200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8C979BF4-9EB0-4747-875B-DD528803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67000"/>
          <a:ext cx="97059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Desktop\C.257%20%20BLS%20Benchmarks%20M2021%2053rd%20wip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ministrative%20Services-POS%20Policy%20Office\Rate%20Setting\Rate%20Projects\DMH%20-%20PACT-CMR%20430\FY24%20Rate%20Review\1.%20Strategy%20Materials\1.%20PACT%20Models%20FY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ministrative%20Services-POS%20Policy%20Office\Rate%20Setting\Rate%20Projects\DMH%20-%20PACT-CMR%20430\FY24%20Rate%20Review\1.%20Strategy%20Materials\2.%20PACT%20Youth%20Dept%20Rate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M2021 BLS  SALARY CHART Median"/>
      <sheetName val="Sheet1"/>
      <sheetName val="M2021 all details"/>
      <sheetName val="DC  CNA  DC III"/>
      <sheetName val="Case Social Worker.Manager"/>
      <sheetName val="Clinical"/>
      <sheetName val="Nursing"/>
      <sheetName val="Management"/>
      <sheetName val="02021 53_PCT"/>
      <sheetName val="Therapies"/>
    </sheetNames>
    <sheetDataSet>
      <sheetData sheetId="0"/>
      <sheetData sheetId="1"/>
      <sheetData sheetId="2"/>
      <sheetData sheetId="3"/>
      <sheetData sheetId="4">
        <row r="6">
          <cell r="J6">
            <v>19.000800000000002</v>
          </cell>
        </row>
        <row r="10">
          <cell r="J10">
            <v>18.008399999999998</v>
          </cell>
        </row>
        <row r="19">
          <cell r="J19">
            <v>24.241120000000002</v>
          </cell>
        </row>
      </sheetData>
      <sheetData sheetId="5">
        <row r="4">
          <cell r="J4">
            <v>24.3888</v>
          </cell>
        </row>
        <row r="11">
          <cell r="J11">
            <v>30.569499999999998</v>
          </cell>
        </row>
      </sheetData>
      <sheetData sheetId="6">
        <row r="6">
          <cell r="J6">
            <v>35.178200000000004</v>
          </cell>
        </row>
        <row r="12">
          <cell r="J12">
            <v>43.1312</v>
          </cell>
        </row>
      </sheetData>
      <sheetData sheetId="7">
        <row r="2">
          <cell r="J2">
            <v>29.084</v>
          </cell>
        </row>
        <row r="6">
          <cell r="J6">
            <v>47.109200000000001</v>
          </cell>
        </row>
        <row r="11">
          <cell r="J11">
            <v>62.008800000000001</v>
          </cell>
        </row>
      </sheetData>
      <sheetData sheetId="8">
        <row r="2">
          <cell r="J2">
            <v>35.084000000000003</v>
          </cell>
        </row>
      </sheetData>
      <sheetData sheetId="9">
        <row r="34">
          <cell r="N34">
            <v>133902.08000000002</v>
          </cell>
        </row>
      </sheetData>
      <sheetData sheetId="10">
        <row r="2">
          <cell r="M2">
            <v>30.937200000000001</v>
          </cell>
        </row>
        <row r="8">
          <cell r="M8">
            <v>38.650100000000002</v>
          </cell>
        </row>
        <row r="14">
          <cell r="M14">
            <v>40.563600000000001</v>
          </cell>
        </row>
        <row r="18">
          <cell r="M18">
            <v>43.066240000000008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F FALL 2022"/>
      <sheetName val="M2021 BLS  SALARY CHART"/>
      <sheetName val="PACT 50 Rate"/>
      <sheetName val="Clean Data FY21"/>
      <sheetName val="M2021 BLS SALARY CHART (53_PCT)"/>
      <sheetName val="Below the line FY21"/>
      <sheetName val="PACT 50 Rate Budget (FOIA)"/>
      <sheetName val="PACT 50 Rate Budget"/>
      <sheetName val="PACT 80 Rate Budget (FOIA)"/>
      <sheetName val="PACT 80 Rate Budget"/>
      <sheetName val="PACT 80 Rate"/>
      <sheetName val="Forensic PACT Rate Budget(FOIA)"/>
      <sheetName val="Forensic PACT Rate Budget"/>
      <sheetName val="Forensic PACT Rate"/>
      <sheetName val="Forensic GLE Budget (FOIA)"/>
      <sheetName val="Forensic GLE Budget"/>
      <sheetName val="FY18 UFR Pivot"/>
      <sheetName val="Salary"/>
      <sheetName val="Spring 2016 Forecast"/>
      <sheetName val="Occupancy FY14 FY15"/>
      <sheetName val="FY14-15 UFR Pivot"/>
      <sheetName val="CAF Fall 2018"/>
      <sheetName val="ActivityCodeReport"/>
      <sheetName val="Other Expenses FY21 Pivot"/>
      <sheetName val="Occupancy FY21"/>
      <sheetName val="Food February 2022"/>
      <sheetName val="FY19 UFR Clean Data"/>
      <sheetName val="Occupancy FY19"/>
      <sheetName val="Other Expenses FY19 Pivot"/>
      <sheetName val="Fiscal Impact FY22"/>
      <sheetName val="Sheet1"/>
    </sheetNames>
    <sheetDataSet>
      <sheetData sheetId="0"/>
      <sheetData sheetId="1">
        <row r="41">
          <cell r="D41">
            <v>0.12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6">
          <cell r="J6">
            <v>396075.39379200002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6">
          <cell r="J6">
            <v>3112.8100488713808</v>
          </cell>
        </row>
      </sheetData>
      <sheetData sheetId="24">
        <row r="30">
          <cell r="E30">
            <v>9608.0258104685399</v>
          </cell>
        </row>
      </sheetData>
      <sheetData sheetId="25">
        <row r="19">
          <cell r="K19">
            <v>9.1511904761904752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F FALL 2022"/>
      <sheetName val="M2021 BLS SALARY CHART (53_PCT)"/>
      <sheetName val="PACT Youth"/>
      <sheetName val="Pact-Youth FY24 (FOIA)"/>
      <sheetName val="M2020 BLS  SALARY CHART"/>
    </sheetNames>
    <sheetDataSet>
      <sheetData sheetId="0">
        <row r="26">
          <cell r="CK26">
            <v>2.7811565914169036E-2</v>
          </cell>
        </row>
      </sheetData>
      <sheetData sheetId="1">
        <row r="6">
          <cell r="C6">
            <v>39521.664000000004</v>
          </cell>
        </row>
        <row r="38">
          <cell r="C38">
            <v>0.25390000000000001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0CC5-8479-4A75-8E46-9B1D6CAF5C6F}">
  <dimension ref="A1:CT27"/>
  <sheetViews>
    <sheetView topLeftCell="BJ1" workbookViewId="0">
      <selection activeCell="BQ40" sqref="BQ40"/>
    </sheetView>
  </sheetViews>
  <sheetFormatPr defaultRowHeight="12.75"/>
  <cols>
    <col min="1" max="1" width="38.42578125" style="1" customWidth="1"/>
    <col min="2" max="2" width="12.85546875" style="6" customWidth="1"/>
    <col min="3" max="82" width="7.7109375" style="1" customWidth="1"/>
    <col min="83" max="256" width="8.7109375" style="1"/>
    <col min="257" max="257" width="38.42578125" style="1" customWidth="1"/>
    <col min="258" max="258" width="12.85546875" style="1" customWidth="1"/>
    <col min="259" max="338" width="7.7109375" style="1" customWidth="1"/>
    <col min="339" max="512" width="8.7109375" style="1"/>
    <col min="513" max="513" width="38.42578125" style="1" customWidth="1"/>
    <col min="514" max="514" width="12.85546875" style="1" customWidth="1"/>
    <col min="515" max="594" width="7.7109375" style="1" customWidth="1"/>
    <col min="595" max="768" width="8.7109375" style="1"/>
    <col min="769" max="769" width="38.42578125" style="1" customWidth="1"/>
    <col min="770" max="770" width="12.85546875" style="1" customWidth="1"/>
    <col min="771" max="850" width="7.7109375" style="1" customWidth="1"/>
    <col min="851" max="1024" width="8.7109375" style="1"/>
    <col min="1025" max="1025" width="38.42578125" style="1" customWidth="1"/>
    <col min="1026" max="1026" width="12.85546875" style="1" customWidth="1"/>
    <col min="1027" max="1106" width="7.7109375" style="1" customWidth="1"/>
    <col min="1107" max="1280" width="8.7109375" style="1"/>
    <col min="1281" max="1281" width="38.42578125" style="1" customWidth="1"/>
    <col min="1282" max="1282" width="12.85546875" style="1" customWidth="1"/>
    <col min="1283" max="1362" width="7.7109375" style="1" customWidth="1"/>
    <col min="1363" max="1536" width="8.7109375" style="1"/>
    <col min="1537" max="1537" width="38.42578125" style="1" customWidth="1"/>
    <col min="1538" max="1538" width="12.85546875" style="1" customWidth="1"/>
    <col min="1539" max="1618" width="7.7109375" style="1" customWidth="1"/>
    <col min="1619" max="1792" width="8.7109375" style="1"/>
    <col min="1793" max="1793" width="38.42578125" style="1" customWidth="1"/>
    <col min="1794" max="1794" width="12.85546875" style="1" customWidth="1"/>
    <col min="1795" max="1874" width="7.7109375" style="1" customWidth="1"/>
    <col min="1875" max="2048" width="8.7109375" style="1"/>
    <col min="2049" max="2049" width="38.42578125" style="1" customWidth="1"/>
    <col min="2050" max="2050" width="12.85546875" style="1" customWidth="1"/>
    <col min="2051" max="2130" width="7.7109375" style="1" customWidth="1"/>
    <col min="2131" max="2304" width="8.7109375" style="1"/>
    <col min="2305" max="2305" width="38.42578125" style="1" customWidth="1"/>
    <col min="2306" max="2306" width="12.85546875" style="1" customWidth="1"/>
    <col min="2307" max="2386" width="7.7109375" style="1" customWidth="1"/>
    <col min="2387" max="2560" width="8.7109375" style="1"/>
    <col min="2561" max="2561" width="38.42578125" style="1" customWidth="1"/>
    <col min="2562" max="2562" width="12.85546875" style="1" customWidth="1"/>
    <col min="2563" max="2642" width="7.7109375" style="1" customWidth="1"/>
    <col min="2643" max="2816" width="8.7109375" style="1"/>
    <col min="2817" max="2817" width="38.42578125" style="1" customWidth="1"/>
    <col min="2818" max="2818" width="12.85546875" style="1" customWidth="1"/>
    <col min="2819" max="2898" width="7.7109375" style="1" customWidth="1"/>
    <col min="2899" max="3072" width="8.7109375" style="1"/>
    <col min="3073" max="3073" width="38.42578125" style="1" customWidth="1"/>
    <col min="3074" max="3074" width="12.85546875" style="1" customWidth="1"/>
    <col min="3075" max="3154" width="7.7109375" style="1" customWidth="1"/>
    <col min="3155" max="3328" width="8.7109375" style="1"/>
    <col min="3329" max="3329" width="38.42578125" style="1" customWidth="1"/>
    <col min="3330" max="3330" width="12.85546875" style="1" customWidth="1"/>
    <col min="3331" max="3410" width="7.7109375" style="1" customWidth="1"/>
    <col min="3411" max="3584" width="8.7109375" style="1"/>
    <col min="3585" max="3585" width="38.42578125" style="1" customWidth="1"/>
    <col min="3586" max="3586" width="12.85546875" style="1" customWidth="1"/>
    <col min="3587" max="3666" width="7.7109375" style="1" customWidth="1"/>
    <col min="3667" max="3840" width="8.7109375" style="1"/>
    <col min="3841" max="3841" width="38.42578125" style="1" customWidth="1"/>
    <col min="3842" max="3842" width="12.85546875" style="1" customWidth="1"/>
    <col min="3843" max="3922" width="7.7109375" style="1" customWidth="1"/>
    <col min="3923" max="4096" width="8.7109375" style="1"/>
    <col min="4097" max="4097" width="38.42578125" style="1" customWidth="1"/>
    <col min="4098" max="4098" width="12.85546875" style="1" customWidth="1"/>
    <col min="4099" max="4178" width="7.7109375" style="1" customWidth="1"/>
    <col min="4179" max="4352" width="8.7109375" style="1"/>
    <col min="4353" max="4353" width="38.42578125" style="1" customWidth="1"/>
    <col min="4354" max="4354" width="12.85546875" style="1" customWidth="1"/>
    <col min="4355" max="4434" width="7.7109375" style="1" customWidth="1"/>
    <col min="4435" max="4608" width="8.7109375" style="1"/>
    <col min="4609" max="4609" width="38.42578125" style="1" customWidth="1"/>
    <col min="4610" max="4610" width="12.85546875" style="1" customWidth="1"/>
    <col min="4611" max="4690" width="7.7109375" style="1" customWidth="1"/>
    <col min="4691" max="4864" width="8.7109375" style="1"/>
    <col min="4865" max="4865" width="38.42578125" style="1" customWidth="1"/>
    <col min="4866" max="4866" width="12.85546875" style="1" customWidth="1"/>
    <col min="4867" max="4946" width="7.7109375" style="1" customWidth="1"/>
    <col min="4947" max="5120" width="8.7109375" style="1"/>
    <col min="5121" max="5121" width="38.42578125" style="1" customWidth="1"/>
    <col min="5122" max="5122" width="12.85546875" style="1" customWidth="1"/>
    <col min="5123" max="5202" width="7.7109375" style="1" customWidth="1"/>
    <col min="5203" max="5376" width="8.7109375" style="1"/>
    <col min="5377" max="5377" width="38.42578125" style="1" customWidth="1"/>
    <col min="5378" max="5378" width="12.85546875" style="1" customWidth="1"/>
    <col min="5379" max="5458" width="7.7109375" style="1" customWidth="1"/>
    <col min="5459" max="5632" width="8.7109375" style="1"/>
    <col min="5633" max="5633" width="38.42578125" style="1" customWidth="1"/>
    <col min="5634" max="5634" width="12.85546875" style="1" customWidth="1"/>
    <col min="5635" max="5714" width="7.7109375" style="1" customWidth="1"/>
    <col min="5715" max="5888" width="8.7109375" style="1"/>
    <col min="5889" max="5889" width="38.42578125" style="1" customWidth="1"/>
    <col min="5890" max="5890" width="12.85546875" style="1" customWidth="1"/>
    <col min="5891" max="5970" width="7.7109375" style="1" customWidth="1"/>
    <col min="5971" max="6144" width="8.7109375" style="1"/>
    <col min="6145" max="6145" width="38.42578125" style="1" customWidth="1"/>
    <col min="6146" max="6146" width="12.85546875" style="1" customWidth="1"/>
    <col min="6147" max="6226" width="7.7109375" style="1" customWidth="1"/>
    <col min="6227" max="6400" width="8.7109375" style="1"/>
    <col min="6401" max="6401" width="38.42578125" style="1" customWidth="1"/>
    <col min="6402" max="6402" width="12.85546875" style="1" customWidth="1"/>
    <col min="6403" max="6482" width="7.7109375" style="1" customWidth="1"/>
    <col min="6483" max="6656" width="8.7109375" style="1"/>
    <col min="6657" max="6657" width="38.42578125" style="1" customWidth="1"/>
    <col min="6658" max="6658" width="12.85546875" style="1" customWidth="1"/>
    <col min="6659" max="6738" width="7.7109375" style="1" customWidth="1"/>
    <col min="6739" max="6912" width="8.7109375" style="1"/>
    <col min="6913" max="6913" width="38.42578125" style="1" customWidth="1"/>
    <col min="6914" max="6914" width="12.85546875" style="1" customWidth="1"/>
    <col min="6915" max="6994" width="7.7109375" style="1" customWidth="1"/>
    <col min="6995" max="7168" width="8.7109375" style="1"/>
    <col min="7169" max="7169" width="38.42578125" style="1" customWidth="1"/>
    <col min="7170" max="7170" width="12.85546875" style="1" customWidth="1"/>
    <col min="7171" max="7250" width="7.7109375" style="1" customWidth="1"/>
    <col min="7251" max="7424" width="8.7109375" style="1"/>
    <col min="7425" max="7425" width="38.42578125" style="1" customWidth="1"/>
    <col min="7426" max="7426" width="12.85546875" style="1" customWidth="1"/>
    <col min="7427" max="7506" width="7.7109375" style="1" customWidth="1"/>
    <col min="7507" max="7680" width="8.7109375" style="1"/>
    <col min="7681" max="7681" width="38.42578125" style="1" customWidth="1"/>
    <col min="7682" max="7682" width="12.85546875" style="1" customWidth="1"/>
    <col min="7683" max="7762" width="7.7109375" style="1" customWidth="1"/>
    <col min="7763" max="7936" width="8.7109375" style="1"/>
    <col min="7937" max="7937" width="38.42578125" style="1" customWidth="1"/>
    <col min="7938" max="7938" width="12.85546875" style="1" customWidth="1"/>
    <col min="7939" max="8018" width="7.7109375" style="1" customWidth="1"/>
    <col min="8019" max="8192" width="8.7109375" style="1"/>
    <col min="8193" max="8193" width="38.42578125" style="1" customWidth="1"/>
    <col min="8194" max="8194" width="12.85546875" style="1" customWidth="1"/>
    <col min="8195" max="8274" width="7.7109375" style="1" customWidth="1"/>
    <col min="8275" max="8448" width="8.7109375" style="1"/>
    <col min="8449" max="8449" width="38.42578125" style="1" customWidth="1"/>
    <col min="8450" max="8450" width="12.85546875" style="1" customWidth="1"/>
    <col min="8451" max="8530" width="7.7109375" style="1" customWidth="1"/>
    <col min="8531" max="8704" width="8.7109375" style="1"/>
    <col min="8705" max="8705" width="38.42578125" style="1" customWidth="1"/>
    <col min="8706" max="8706" width="12.85546875" style="1" customWidth="1"/>
    <col min="8707" max="8786" width="7.7109375" style="1" customWidth="1"/>
    <col min="8787" max="8960" width="8.7109375" style="1"/>
    <col min="8961" max="8961" width="38.42578125" style="1" customWidth="1"/>
    <col min="8962" max="8962" width="12.85546875" style="1" customWidth="1"/>
    <col min="8963" max="9042" width="7.7109375" style="1" customWidth="1"/>
    <col min="9043" max="9216" width="8.7109375" style="1"/>
    <col min="9217" max="9217" width="38.42578125" style="1" customWidth="1"/>
    <col min="9218" max="9218" width="12.85546875" style="1" customWidth="1"/>
    <col min="9219" max="9298" width="7.7109375" style="1" customWidth="1"/>
    <col min="9299" max="9472" width="8.7109375" style="1"/>
    <col min="9473" max="9473" width="38.42578125" style="1" customWidth="1"/>
    <col min="9474" max="9474" width="12.85546875" style="1" customWidth="1"/>
    <col min="9475" max="9554" width="7.7109375" style="1" customWidth="1"/>
    <col min="9555" max="9728" width="8.7109375" style="1"/>
    <col min="9729" max="9729" width="38.42578125" style="1" customWidth="1"/>
    <col min="9730" max="9730" width="12.85546875" style="1" customWidth="1"/>
    <col min="9731" max="9810" width="7.7109375" style="1" customWidth="1"/>
    <col min="9811" max="9984" width="8.7109375" style="1"/>
    <col min="9985" max="9985" width="38.42578125" style="1" customWidth="1"/>
    <col min="9986" max="9986" width="12.85546875" style="1" customWidth="1"/>
    <col min="9987" max="10066" width="7.7109375" style="1" customWidth="1"/>
    <col min="10067" max="10240" width="8.7109375" style="1"/>
    <col min="10241" max="10241" width="38.42578125" style="1" customWidth="1"/>
    <col min="10242" max="10242" width="12.85546875" style="1" customWidth="1"/>
    <col min="10243" max="10322" width="7.7109375" style="1" customWidth="1"/>
    <col min="10323" max="10496" width="8.7109375" style="1"/>
    <col min="10497" max="10497" width="38.42578125" style="1" customWidth="1"/>
    <col min="10498" max="10498" width="12.85546875" style="1" customWidth="1"/>
    <col min="10499" max="10578" width="7.7109375" style="1" customWidth="1"/>
    <col min="10579" max="10752" width="8.7109375" style="1"/>
    <col min="10753" max="10753" width="38.42578125" style="1" customWidth="1"/>
    <col min="10754" max="10754" width="12.85546875" style="1" customWidth="1"/>
    <col min="10755" max="10834" width="7.7109375" style="1" customWidth="1"/>
    <col min="10835" max="11008" width="8.7109375" style="1"/>
    <col min="11009" max="11009" width="38.42578125" style="1" customWidth="1"/>
    <col min="11010" max="11010" width="12.85546875" style="1" customWidth="1"/>
    <col min="11011" max="11090" width="7.7109375" style="1" customWidth="1"/>
    <col min="11091" max="11264" width="8.7109375" style="1"/>
    <col min="11265" max="11265" width="38.42578125" style="1" customWidth="1"/>
    <col min="11266" max="11266" width="12.85546875" style="1" customWidth="1"/>
    <col min="11267" max="11346" width="7.7109375" style="1" customWidth="1"/>
    <col min="11347" max="11520" width="8.7109375" style="1"/>
    <col min="11521" max="11521" width="38.42578125" style="1" customWidth="1"/>
    <col min="11522" max="11522" width="12.85546875" style="1" customWidth="1"/>
    <col min="11523" max="11602" width="7.7109375" style="1" customWidth="1"/>
    <col min="11603" max="11776" width="8.7109375" style="1"/>
    <col min="11777" max="11777" width="38.42578125" style="1" customWidth="1"/>
    <col min="11778" max="11778" width="12.85546875" style="1" customWidth="1"/>
    <col min="11779" max="11858" width="7.7109375" style="1" customWidth="1"/>
    <col min="11859" max="12032" width="8.7109375" style="1"/>
    <col min="12033" max="12033" width="38.42578125" style="1" customWidth="1"/>
    <col min="12034" max="12034" width="12.85546875" style="1" customWidth="1"/>
    <col min="12035" max="12114" width="7.7109375" style="1" customWidth="1"/>
    <col min="12115" max="12288" width="8.7109375" style="1"/>
    <col min="12289" max="12289" width="38.42578125" style="1" customWidth="1"/>
    <col min="12290" max="12290" width="12.85546875" style="1" customWidth="1"/>
    <col min="12291" max="12370" width="7.7109375" style="1" customWidth="1"/>
    <col min="12371" max="12544" width="8.7109375" style="1"/>
    <col min="12545" max="12545" width="38.42578125" style="1" customWidth="1"/>
    <col min="12546" max="12546" width="12.85546875" style="1" customWidth="1"/>
    <col min="12547" max="12626" width="7.7109375" style="1" customWidth="1"/>
    <col min="12627" max="12800" width="8.7109375" style="1"/>
    <col min="12801" max="12801" width="38.42578125" style="1" customWidth="1"/>
    <col min="12802" max="12802" width="12.85546875" style="1" customWidth="1"/>
    <col min="12803" max="12882" width="7.7109375" style="1" customWidth="1"/>
    <col min="12883" max="13056" width="8.7109375" style="1"/>
    <col min="13057" max="13057" width="38.42578125" style="1" customWidth="1"/>
    <col min="13058" max="13058" width="12.85546875" style="1" customWidth="1"/>
    <col min="13059" max="13138" width="7.7109375" style="1" customWidth="1"/>
    <col min="13139" max="13312" width="8.7109375" style="1"/>
    <col min="13313" max="13313" width="38.42578125" style="1" customWidth="1"/>
    <col min="13314" max="13314" width="12.85546875" style="1" customWidth="1"/>
    <col min="13315" max="13394" width="7.7109375" style="1" customWidth="1"/>
    <col min="13395" max="13568" width="8.7109375" style="1"/>
    <col min="13569" max="13569" width="38.42578125" style="1" customWidth="1"/>
    <col min="13570" max="13570" width="12.85546875" style="1" customWidth="1"/>
    <col min="13571" max="13650" width="7.7109375" style="1" customWidth="1"/>
    <col min="13651" max="13824" width="8.7109375" style="1"/>
    <col min="13825" max="13825" width="38.42578125" style="1" customWidth="1"/>
    <col min="13826" max="13826" width="12.85546875" style="1" customWidth="1"/>
    <col min="13827" max="13906" width="7.7109375" style="1" customWidth="1"/>
    <col min="13907" max="14080" width="8.7109375" style="1"/>
    <col min="14081" max="14081" width="38.42578125" style="1" customWidth="1"/>
    <col min="14082" max="14082" width="12.85546875" style="1" customWidth="1"/>
    <col min="14083" max="14162" width="7.7109375" style="1" customWidth="1"/>
    <col min="14163" max="14336" width="8.7109375" style="1"/>
    <col min="14337" max="14337" width="38.42578125" style="1" customWidth="1"/>
    <col min="14338" max="14338" width="12.85546875" style="1" customWidth="1"/>
    <col min="14339" max="14418" width="7.7109375" style="1" customWidth="1"/>
    <col min="14419" max="14592" width="8.7109375" style="1"/>
    <col min="14593" max="14593" width="38.42578125" style="1" customWidth="1"/>
    <col min="14594" max="14594" width="12.85546875" style="1" customWidth="1"/>
    <col min="14595" max="14674" width="7.7109375" style="1" customWidth="1"/>
    <col min="14675" max="14848" width="8.7109375" style="1"/>
    <col min="14849" max="14849" width="38.42578125" style="1" customWidth="1"/>
    <col min="14850" max="14850" width="12.85546875" style="1" customWidth="1"/>
    <col min="14851" max="14930" width="7.7109375" style="1" customWidth="1"/>
    <col min="14931" max="15104" width="8.7109375" style="1"/>
    <col min="15105" max="15105" width="38.42578125" style="1" customWidth="1"/>
    <col min="15106" max="15106" width="12.85546875" style="1" customWidth="1"/>
    <col min="15107" max="15186" width="7.7109375" style="1" customWidth="1"/>
    <col min="15187" max="15360" width="8.7109375" style="1"/>
    <col min="15361" max="15361" width="38.42578125" style="1" customWidth="1"/>
    <col min="15362" max="15362" width="12.85546875" style="1" customWidth="1"/>
    <col min="15363" max="15442" width="7.7109375" style="1" customWidth="1"/>
    <col min="15443" max="15616" width="8.7109375" style="1"/>
    <col min="15617" max="15617" width="38.42578125" style="1" customWidth="1"/>
    <col min="15618" max="15618" width="12.85546875" style="1" customWidth="1"/>
    <col min="15619" max="15698" width="7.7109375" style="1" customWidth="1"/>
    <col min="15699" max="15872" width="8.7109375" style="1"/>
    <col min="15873" max="15873" width="38.42578125" style="1" customWidth="1"/>
    <col min="15874" max="15874" width="12.85546875" style="1" customWidth="1"/>
    <col min="15875" max="15954" width="7.7109375" style="1" customWidth="1"/>
    <col min="15955" max="16128" width="8.7109375" style="1"/>
    <col min="16129" max="16129" width="38.42578125" style="1" customWidth="1"/>
    <col min="16130" max="16130" width="12.85546875" style="1" customWidth="1"/>
    <col min="16131" max="16210" width="7.7109375" style="1" customWidth="1"/>
    <col min="16211" max="16384" width="8.7109375" style="1"/>
  </cols>
  <sheetData>
    <row r="1" spans="1:98" ht="18">
      <c r="A1" s="606" t="s">
        <v>0</v>
      </c>
      <c r="B1" s="607"/>
    </row>
    <row r="2" spans="1:98" ht="15.75">
      <c r="A2" s="2" t="s">
        <v>1</v>
      </c>
      <c r="B2" s="3"/>
    </row>
    <row r="3" spans="1:98" ht="15.75" thickBot="1">
      <c r="A3" s="4" t="s">
        <v>2</v>
      </c>
      <c r="B3" s="5"/>
    </row>
    <row r="5" spans="1:98">
      <c r="CA5" s="1" t="s">
        <v>3</v>
      </c>
      <c r="CB5" s="1" t="s">
        <v>4</v>
      </c>
      <c r="CC5" s="1" t="s">
        <v>5</v>
      </c>
      <c r="CD5" s="1" t="s">
        <v>6</v>
      </c>
    </row>
    <row r="6" spans="1:98">
      <c r="BQ6" s="7" t="s">
        <v>7</v>
      </c>
      <c r="BR6" s="7" t="s">
        <v>7</v>
      </c>
      <c r="BS6" s="7" t="s">
        <v>7</v>
      </c>
      <c r="BT6" s="7" t="s">
        <v>7</v>
      </c>
      <c r="BU6" s="8" t="s">
        <v>8</v>
      </c>
      <c r="BV6" s="8" t="s">
        <v>8</v>
      </c>
      <c r="BW6" s="8" t="s">
        <v>8</v>
      </c>
      <c r="BX6" s="8" t="s">
        <v>8</v>
      </c>
      <c r="BY6" s="9" t="s">
        <v>9</v>
      </c>
      <c r="BZ6" s="9" t="s">
        <v>9</v>
      </c>
      <c r="CA6" s="9" t="s">
        <v>9</v>
      </c>
      <c r="CB6" s="9" t="s">
        <v>9</v>
      </c>
      <c r="CC6" s="10" t="s">
        <v>10</v>
      </c>
      <c r="CD6" s="10" t="s">
        <v>10</v>
      </c>
      <c r="CE6" s="10" t="s">
        <v>10</v>
      </c>
      <c r="CF6" s="10" t="s">
        <v>10</v>
      </c>
      <c r="CG6" s="11" t="s">
        <v>11</v>
      </c>
      <c r="CH6" s="11" t="s">
        <v>11</v>
      </c>
      <c r="CI6" s="11" t="s">
        <v>11</v>
      </c>
      <c r="CJ6" s="11" t="s">
        <v>11</v>
      </c>
    </row>
    <row r="7" spans="1:98" s="6" customFormat="1">
      <c r="B7" s="6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2" t="s">
        <v>22</v>
      </c>
      <c r="M7" s="12" t="s">
        <v>23</v>
      </c>
      <c r="N7" s="12" t="s">
        <v>24</v>
      </c>
      <c r="O7" s="12" t="s">
        <v>25</v>
      </c>
      <c r="P7" s="12" t="s">
        <v>26</v>
      </c>
      <c r="Q7" s="12" t="s">
        <v>27</v>
      </c>
      <c r="R7" s="12" t="s">
        <v>28</v>
      </c>
      <c r="S7" s="12" t="s">
        <v>29</v>
      </c>
      <c r="T7" s="12" t="s">
        <v>30</v>
      </c>
      <c r="U7" s="12" t="s">
        <v>31</v>
      </c>
      <c r="V7" s="12" t="s">
        <v>32</v>
      </c>
      <c r="W7" s="12" t="s">
        <v>33</v>
      </c>
      <c r="X7" s="12" t="s">
        <v>34</v>
      </c>
      <c r="Y7" s="12" t="s">
        <v>35</v>
      </c>
      <c r="Z7" s="12" t="s">
        <v>36</v>
      </c>
      <c r="AA7" s="12" t="s">
        <v>37</v>
      </c>
      <c r="AB7" s="12" t="s">
        <v>38</v>
      </c>
      <c r="AC7" s="12" t="s">
        <v>39</v>
      </c>
      <c r="AD7" s="12" t="s">
        <v>40</v>
      </c>
      <c r="AE7" s="12" t="s">
        <v>41</v>
      </c>
      <c r="AF7" s="12" t="s">
        <v>42</v>
      </c>
      <c r="AG7" s="12" t="s">
        <v>43</v>
      </c>
      <c r="AH7" s="12" t="s">
        <v>44</v>
      </c>
      <c r="AI7" s="12" t="s">
        <v>45</v>
      </c>
      <c r="AJ7" s="12" t="s">
        <v>46</v>
      </c>
      <c r="AK7" s="12" t="s">
        <v>47</v>
      </c>
      <c r="AL7" s="12" t="s">
        <v>48</v>
      </c>
      <c r="AM7" s="12" t="s">
        <v>49</v>
      </c>
      <c r="AN7" s="12" t="s">
        <v>50</v>
      </c>
      <c r="AO7" s="12" t="s">
        <v>51</v>
      </c>
      <c r="AP7" s="12" t="s">
        <v>52</v>
      </c>
      <c r="AQ7" s="12" t="s">
        <v>53</v>
      </c>
      <c r="AR7" s="12" t="s">
        <v>54</v>
      </c>
      <c r="AS7" s="12" t="s">
        <v>55</v>
      </c>
      <c r="AT7" s="12" t="s">
        <v>56</v>
      </c>
      <c r="AU7" s="6" t="s">
        <v>57</v>
      </c>
      <c r="AV7" s="6" t="s">
        <v>58</v>
      </c>
      <c r="AW7" s="6" t="s">
        <v>59</v>
      </c>
      <c r="AX7" s="6" t="s">
        <v>60</v>
      </c>
      <c r="AY7" s="6" t="s">
        <v>61</v>
      </c>
      <c r="AZ7" s="6" t="s">
        <v>62</v>
      </c>
      <c r="BA7" s="6" t="s">
        <v>63</v>
      </c>
      <c r="BB7" s="6" t="s">
        <v>64</v>
      </c>
      <c r="BC7" s="6" t="s">
        <v>65</v>
      </c>
      <c r="BD7" s="6" t="s">
        <v>66</v>
      </c>
      <c r="BE7" s="6" t="s">
        <v>67</v>
      </c>
      <c r="BF7" s="6" t="s">
        <v>68</v>
      </c>
      <c r="BG7" s="6" t="s">
        <v>69</v>
      </c>
      <c r="BH7" s="6" t="s">
        <v>70</v>
      </c>
      <c r="BI7" s="6" t="s">
        <v>71</v>
      </c>
      <c r="BJ7" s="6" t="s">
        <v>72</v>
      </c>
      <c r="BK7" s="6" t="s">
        <v>73</v>
      </c>
      <c r="BL7" s="6" t="s">
        <v>74</v>
      </c>
      <c r="BM7" s="6" t="s">
        <v>75</v>
      </c>
      <c r="BN7" s="6" t="s">
        <v>76</v>
      </c>
      <c r="BO7" s="6" t="s">
        <v>77</v>
      </c>
      <c r="BP7" s="6" t="s">
        <v>78</v>
      </c>
      <c r="BQ7" s="6" t="s">
        <v>79</v>
      </c>
      <c r="BR7" s="6" t="s">
        <v>80</v>
      </c>
      <c r="BS7" s="6" t="s">
        <v>81</v>
      </c>
      <c r="BT7" s="6" t="s">
        <v>82</v>
      </c>
      <c r="BU7" s="6" t="s">
        <v>83</v>
      </c>
      <c r="BV7" s="6" t="s">
        <v>84</v>
      </c>
      <c r="BW7" s="6" t="s">
        <v>85</v>
      </c>
      <c r="BX7" s="6" t="s">
        <v>86</v>
      </c>
      <c r="BY7" s="6" t="s">
        <v>87</v>
      </c>
      <c r="BZ7" s="6" t="s">
        <v>88</v>
      </c>
      <c r="CA7" s="6" t="s">
        <v>89</v>
      </c>
      <c r="CB7" s="6" t="s">
        <v>90</v>
      </c>
      <c r="CC7" s="6" t="s">
        <v>91</v>
      </c>
      <c r="CD7" s="6" t="s">
        <v>92</v>
      </c>
      <c r="CE7" s="6" t="s">
        <v>93</v>
      </c>
      <c r="CF7" s="6" t="s">
        <v>94</v>
      </c>
      <c r="CG7" s="6" t="s">
        <v>95</v>
      </c>
      <c r="CH7" s="6" t="s">
        <v>96</v>
      </c>
      <c r="CI7" s="6" t="s">
        <v>97</v>
      </c>
      <c r="CJ7" s="6" t="s">
        <v>98</v>
      </c>
      <c r="CK7" s="6" t="s">
        <v>99</v>
      </c>
      <c r="CL7" s="6" t="s">
        <v>100</v>
      </c>
      <c r="CM7" s="6" t="s">
        <v>101</v>
      </c>
      <c r="CN7" s="6" t="s">
        <v>102</v>
      </c>
      <c r="CO7" s="6" t="s">
        <v>103</v>
      </c>
      <c r="CP7" s="6" t="s">
        <v>104</v>
      </c>
      <c r="CQ7" s="6" t="s">
        <v>105</v>
      </c>
      <c r="CR7" s="6" t="s">
        <v>106</v>
      </c>
      <c r="CS7" s="6" t="s">
        <v>107</v>
      </c>
      <c r="CT7" s="6" t="s">
        <v>108</v>
      </c>
    </row>
    <row r="8" spans="1:98">
      <c r="A8" s="6" t="s">
        <v>109</v>
      </c>
      <c r="B8" s="6" t="s">
        <v>110</v>
      </c>
      <c r="C8" s="13">
        <v>2.03516971038266</v>
      </c>
      <c r="D8" s="13">
        <v>2.0603243586248499</v>
      </c>
      <c r="E8" s="13">
        <v>2.0653694065802699</v>
      </c>
      <c r="F8" s="13">
        <v>2.0874807762832099</v>
      </c>
      <c r="G8" s="13">
        <v>2.1050400482010199</v>
      </c>
      <c r="H8" s="13">
        <v>2.1154192603458899</v>
      </c>
      <c r="I8" s="13">
        <v>2.1518068200870601</v>
      </c>
      <c r="J8" s="13">
        <v>2.1707783725541501</v>
      </c>
      <c r="K8" s="13">
        <v>2.18783691981761</v>
      </c>
      <c r="L8" s="13">
        <v>2.2132586941521701</v>
      </c>
      <c r="M8" s="13">
        <v>2.2359257447920902</v>
      </c>
      <c r="N8" s="13">
        <v>2.2211869184724802</v>
      </c>
      <c r="O8" s="13">
        <v>2.2326241842019399</v>
      </c>
      <c r="P8" s="13">
        <v>2.25901750728924</v>
      </c>
      <c r="Q8" s="13">
        <v>2.2765164106308</v>
      </c>
      <c r="R8" s="13">
        <v>2.30291395940545</v>
      </c>
      <c r="S8" s="13">
        <v>2.3203732479405201</v>
      </c>
      <c r="T8" s="13">
        <v>2.3642172164480799</v>
      </c>
      <c r="U8" s="13">
        <v>2.4053168355103001</v>
      </c>
      <c r="V8" s="13">
        <v>2.3519755124970101</v>
      </c>
      <c r="W8" s="13">
        <v>2.3408422306286298</v>
      </c>
      <c r="X8" s="13">
        <v>2.3474188487574099</v>
      </c>
      <c r="Y8" s="13">
        <v>2.36722788639723</v>
      </c>
      <c r="Z8" s="13">
        <v>2.38170796623861</v>
      </c>
      <c r="AA8" s="13">
        <v>2.37977560548517</v>
      </c>
      <c r="AB8" s="13">
        <v>2.3845469305921401</v>
      </c>
      <c r="AC8" s="13">
        <v>2.3990494738484398</v>
      </c>
      <c r="AD8" s="13">
        <v>2.4227910394257499</v>
      </c>
      <c r="AE8" s="13">
        <v>2.4330498565991299</v>
      </c>
      <c r="AF8" s="13">
        <v>2.4782592908991101</v>
      </c>
      <c r="AG8" s="13">
        <v>2.48958598393371</v>
      </c>
      <c r="AH8" s="13">
        <v>2.4982528033804701</v>
      </c>
      <c r="AI8" s="13">
        <v>2.5146494553159999</v>
      </c>
      <c r="AJ8" s="13">
        <v>2.52107076869803</v>
      </c>
      <c r="AK8" s="13">
        <v>2.5313114193711401</v>
      </c>
      <c r="AL8" s="13">
        <v>2.5519818070473299</v>
      </c>
      <c r="AM8" s="13">
        <v>2.5588970948066301</v>
      </c>
      <c r="AN8" s="13">
        <v>2.5563607318916199</v>
      </c>
      <c r="AO8" s="13">
        <v>2.5757018498037501</v>
      </c>
      <c r="AP8" s="13">
        <v>2.5903118852466198</v>
      </c>
      <c r="AQ8" s="13">
        <v>2.5984834377108701</v>
      </c>
      <c r="AR8" s="13">
        <v>2.6097667453760698</v>
      </c>
      <c r="AS8" s="13">
        <v>2.6162580136308198</v>
      </c>
      <c r="AT8" s="13">
        <v>2.6185435816407101</v>
      </c>
      <c r="AU8" s="13">
        <v>2.6130742036410601</v>
      </c>
      <c r="AV8" s="13">
        <v>2.6248654931503501</v>
      </c>
      <c r="AW8" s="13">
        <v>2.6210903132751202</v>
      </c>
      <c r="AX8" s="13">
        <v>2.62812001494735</v>
      </c>
      <c r="AY8" s="13">
        <v>2.6195672059792101</v>
      </c>
      <c r="AZ8" s="13">
        <v>2.6445845101286198</v>
      </c>
      <c r="BA8" s="13">
        <v>2.6645119184811499</v>
      </c>
      <c r="BB8" s="13">
        <v>2.6793127669589998</v>
      </c>
      <c r="BC8" s="13">
        <v>2.69196801581622</v>
      </c>
      <c r="BD8" s="13">
        <v>2.6963999173151398</v>
      </c>
      <c r="BE8" s="13">
        <v>2.70820199309592</v>
      </c>
      <c r="BF8" s="13">
        <v>2.7228199938442401</v>
      </c>
      <c r="BG8" s="13">
        <v>2.7581855200157999</v>
      </c>
      <c r="BH8" s="13">
        <v>2.7725868388914199</v>
      </c>
      <c r="BI8" s="13">
        <v>2.7794261240196301</v>
      </c>
      <c r="BJ8" s="13">
        <v>2.79252284616837</v>
      </c>
      <c r="BK8" s="13">
        <v>2.80204068249218</v>
      </c>
      <c r="BL8" s="13">
        <v>2.8122450644763202</v>
      </c>
      <c r="BM8" s="13">
        <v>2.8300584393122699</v>
      </c>
      <c r="BN8" s="13">
        <v>2.84208162724111</v>
      </c>
      <c r="BO8" s="13">
        <v>2.8551686160991401</v>
      </c>
      <c r="BP8" s="13">
        <v>2.8532778182259202</v>
      </c>
      <c r="BQ8" s="13">
        <v>2.8766732544002802</v>
      </c>
      <c r="BR8" s="13">
        <v>2.8982648495135899</v>
      </c>
      <c r="BS8" s="13">
        <v>2.9160216774221999</v>
      </c>
      <c r="BT8" s="13">
        <v>2.9654626403941302</v>
      </c>
      <c r="BU8" s="13">
        <v>3.0081548337632902</v>
      </c>
      <c r="BV8" s="13">
        <v>3.0630482422248799</v>
      </c>
      <c r="BW8" s="13">
        <v>3.1259030163817498</v>
      </c>
      <c r="BX8" s="13">
        <v>3.2014215237569101</v>
      </c>
      <c r="BY8" s="13">
        <v>3.2421852795932899</v>
      </c>
      <c r="BZ8" s="13">
        <v>3.28097034676113</v>
      </c>
      <c r="CA8" s="13">
        <v>3.3147673493876102</v>
      </c>
      <c r="CB8" s="13">
        <v>3.3342442670690202</v>
      </c>
      <c r="CC8" s="13">
        <v>3.3575240050477801</v>
      </c>
      <c r="CD8" s="13">
        <v>3.3819769082909898</v>
      </c>
      <c r="CE8" s="13">
        <v>3.4050737208242499</v>
      </c>
      <c r="CF8" s="13">
        <v>3.4235125377062201</v>
      </c>
      <c r="CG8" s="13">
        <v>3.4450513542515901</v>
      </c>
      <c r="CH8" s="13">
        <v>3.46875440874557</v>
      </c>
      <c r="CI8" s="13">
        <v>3.4882052868706701</v>
      </c>
      <c r="CJ8" s="13">
        <v>3.5079404569764301</v>
      </c>
      <c r="CK8" s="13">
        <v>3.52720160365971</v>
      </c>
      <c r="CL8" s="13">
        <v>3.5476099886222801</v>
      </c>
      <c r="CM8" s="13">
        <v>3.56843780489451</v>
      </c>
      <c r="CN8" s="13">
        <v>3.5885155982193702</v>
      </c>
      <c r="CO8" s="13">
        <v>3.6085155243706</v>
      </c>
      <c r="CP8" s="13">
        <v>3.6288578979966402</v>
      </c>
      <c r="CQ8" s="13">
        <v>3.6502636785569198</v>
      </c>
      <c r="CR8" s="13">
        <v>3.6714830563818301</v>
      </c>
      <c r="CS8" s="13">
        <v>3.6917467571563201</v>
      </c>
      <c r="CT8" s="13">
        <v>3.7124949401037699</v>
      </c>
    </row>
    <row r="9" spans="1:98">
      <c r="A9" s="6" t="s">
        <v>111</v>
      </c>
      <c r="B9" s="6" t="s">
        <v>112</v>
      </c>
      <c r="C9" s="13">
        <v>2.03516971038266</v>
      </c>
      <c r="D9" s="13">
        <v>2.0603243586248499</v>
      </c>
      <c r="E9" s="13">
        <v>2.0653694065802699</v>
      </c>
      <c r="F9" s="13">
        <v>2.0874807762832099</v>
      </c>
      <c r="G9" s="13">
        <v>2.1050400482010199</v>
      </c>
      <c r="H9" s="13">
        <v>2.1154192603458899</v>
      </c>
      <c r="I9" s="13">
        <v>2.1518068200870601</v>
      </c>
      <c r="J9" s="13">
        <v>2.1707783725541501</v>
      </c>
      <c r="K9" s="13">
        <v>2.18783691981761</v>
      </c>
      <c r="L9" s="13">
        <v>2.2132586941521701</v>
      </c>
      <c r="M9" s="13">
        <v>2.2359257447920902</v>
      </c>
      <c r="N9" s="13">
        <v>2.2211869184724802</v>
      </c>
      <c r="O9" s="13">
        <v>2.2326241842019399</v>
      </c>
      <c r="P9" s="13">
        <v>2.25901750728924</v>
      </c>
      <c r="Q9" s="13">
        <v>2.2765164106308</v>
      </c>
      <c r="R9" s="13">
        <v>2.30291395940545</v>
      </c>
      <c r="S9" s="13">
        <v>2.3203732479405201</v>
      </c>
      <c r="T9" s="13">
        <v>2.3642172164480799</v>
      </c>
      <c r="U9" s="13">
        <v>2.4053168355103001</v>
      </c>
      <c r="V9" s="13">
        <v>2.3519755124970101</v>
      </c>
      <c r="W9" s="13">
        <v>2.3408422306286298</v>
      </c>
      <c r="X9" s="13">
        <v>2.3474188487574099</v>
      </c>
      <c r="Y9" s="13">
        <v>2.36722788639723</v>
      </c>
      <c r="Z9" s="13">
        <v>2.38170796623861</v>
      </c>
      <c r="AA9" s="13">
        <v>2.37977560548517</v>
      </c>
      <c r="AB9" s="13">
        <v>2.3845469305921401</v>
      </c>
      <c r="AC9" s="13">
        <v>2.3990494738484398</v>
      </c>
      <c r="AD9" s="13">
        <v>2.4227910394257499</v>
      </c>
      <c r="AE9" s="13">
        <v>2.4330498565991299</v>
      </c>
      <c r="AF9" s="13">
        <v>2.4782592908991101</v>
      </c>
      <c r="AG9" s="13">
        <v>2.48958598393371</v>
      </c>
      <c r="AH9" s="13">
        <v>2.4982528033804701</v>
      </c>
      <c r="AI9" s="13">
        <v>2.5146494553159999</v>
      </c>
      <c r="AJ9" s="13">
        <v>2.52107076869803</v>
      </c>
      <c r="AK9" s="13">
        <v>2.5313114193711401</v>
      </c>
      <c r="AL9" s="13">
        <v>2.5519818070473299</v>
      </c>
      <c r="AM9" s="13">
        <v>2.5588970948066301</v>
      </c>
      <c r="AN9" s="13">
        <v>2.5563607318916199</v>
      </c>
      <c r="AO9" s="13">
        <v>2.5757018498037501</v>
      </c>
      <c r="AP9" s="13">
        <v>2.5903118852466198</v>
      </c>
      <c r="AQ9" s="13">
        <v>2.5984834377108701</v>
      </c>
      <c r="AR9" s="13">
        <v>2.6097667453760698</v>
      </c>
      <c r="AS9" s="13">
        <v>2.6162580136308198</v>
      </c>
      <c r="AT9" s="13">
        <v>2.6185435816407101</v>
      </c>
      <c r="AU9" s="13">
        <v>2.6130742036410601</v>
      </c>
      <c r="AV9" s="13">
        <v>2.6248654931503501</v>
      </c>
      <c r="AW9" s="13">
        <v>2.6210903132751202</v>
      </c>
      <c r="AX9" s="13">
        <v>2.62812001494735</v>
      </c>
      <c r="AY9" s="13">
        <v>2.6195672059792101</v>
      </c>
      <c r="AZ9" s="13">
        <v>2.6445845101286198</v>
      </c>
      <c r="BA9" s="13">
        <v>2.6645119184811499</v>
      </c>
      <c r="BB9" s="13">
        <v>2.6793127669589998</v>
      </c>
      <c r="BC9" s="13">
        <v>2.69196801581622</v>
      </c>
      <c r="BD9" s="13">
        <v>2.6963999173151398</v>
      </c>
      <c r="BE9" s="13">
        <v>2.70820199309592</v>
      </c>
      <c r="BF9" s="13">
        <v>2.7228199938442401</v>
      </c>
      <c r="BG9" s="13">
        <v>2.7581855200157999</v>
      </c>
      <c r="BH9" s="13">
        <v>2.7725868388914199</v>
      </c>
      <c r="BI9" s="13">
        <v>2.7794261240196301</v>
      </c>
      <c r="BJ9" s="13">
        <v>2.79252284616837</v>
      </c>
      <c r="BK9" s="13">
        <v>2.80204068249218</v>
      </c>
      <c r="BL9" s="13">
        <v>2.8122450644763202</v>
      </c>
      <c r="BM9" s="13">
        <v>2.8300584393122699</v>
      </c>
      <c r="BN9" s="13">
        <v>2.84208162724111</v>
      </c>
      <c r="BO9" s="13">
        <v>2.8551686160991401</v>
      </c>
      <c r="BP9" s="13">
        <v>2.8532778182259202</v>
      </c>
      <c r="BQ9" s="13">
        <v>2.8766732544002802</v>
      </c>
      <c r="BR9" s="13">
        <v>2.8982648495135899</v>
      </c>
      <c r="BS9" s="13">
        <v>2.9160216774221999</v>
      </c>
      <c r="BT9" s="13">
        <v>2.9654626403941302</v>
      </c>
      <c r="BU9" s="13">
        <v>3.0081548337632902</v>
      </c>
      <c r="BV9" s="13">
        <v>3.0630482422248799</v>
      </c>
      <c r="BW9" s="13">
        <v>3.1259030163817498</v>
      </c>
      <c r="BX9" s="13">
        <v>3.2014215237569101</v>
      </c>
      <c r="BY9" s="13">
        <v>3.2255363055134101</v>
      </c>
      <c r="BZ9" s="13">
        <v>3.2598916230874599</v>
      </c>
      <c r="CA9" s="13">
        <v>3.2891346677534301</v>
      </c>
      <c r="CB9" s="13">
        <v>3.30621025530152</v>
      </c>
      <c r="CC9" s="13">
        <v>3.3272304548242801</v>
      </c>
      <c r="CD9" s="13">
        <v>3.3506000676307002</v>
      </c>
      <c r="CE9" s="13">
        <v>3.3713855548821599</v>
      </c>
      <c r="CF9" s="13">
        <v>3.3883014039568402</v>
      </c>
      <c r="CG9" s="13">
        <v>3.4080858525713902</v>
      </c>
      <c r="CH9" s="13">
        <v>3.42941797508669</v>
      </c>
      <c r="CI9" s="13">
        <v>3.4464785567767202</v>
      </c>
      <c r="CJ9" s="13">
        <v>3.46378925221474</v>
      </c>
      <c r="CK9" s="13">
        <v>3.4809094361872699</v>
      </c>
      <c r="CL9" s="13">
        <v>3.4992140517661001</v>
      </c>
      <c r="CM9" s="13">
        <v>3.5178797103848898</v>
      </c>
      <c r="CN9" s="13">
        <v>3.53579934508278</v>
      </c>
      <c r="CO9" s="13">
        <v>3.5537903995520801</v>
      </c>
      <c r="CP9" s="13">
        <v>3.5722371267770701</v>
      </c>
      <c r="CQ9" s="13">
        <v>3.5919469703646798</v>
      </c>
      <c r="CR9" s="13">
        <v>3.6114642330203099</v>
      </c>
      <c r="CS9" s="13">
        <v>3.6300819400814999</v>
      </c>
      <c r="CT9" s="13">
        <v>3.6492439952051701</v>
      </c>
    </row>
    <row r="10" spans="1:98">
      <c r="A10" s="6" t="s">
        <v>113</v>
      </c>
      <c r="B10" s="6" t="s">
        <v>114</v>
      </c>
      <c r="C10" s="13">
        <v>2.03516971038266</v>
      </c>
      <c r="D10" s="13">
        <v>2.0603243586248499</v>
      </c>
      <c r="E10" s="13">
        <v>2.0653694065802699</v>
      </c>
      <c r="F10" s="13">
        <v>2.0874807762832099</v>
      </c>
      <c r="G10" s="13">
        <v>2.1050400482010199</v>
      </c>
      <c r="H10" s="13">
        <v>2.1154192603458899</v>
      </c>
      <c r="I10" s="13">
        <v>2.1518068200870601</v>
      </c>
      <c r="J10" s="13">
        <v>2.1707783725541501</v>
      </c>
      <c r="K10" s="13">
        <v>2.18783691981761</v>
      </c>
      <c r="L10" s="13">
        <v>2.2132586941521701</v>
      </c>
      <c r="M10" s="13">
        <v>2.2359257447920902</v>
      </c>
      <c r="N10" s="13">
        <v>2.2211869184724802</v>
      </c>
      <c r="O10" s="13">
        <v>2.2326241842019399</v>
      </c>
      <c r="P10" s="13">
        <v>2.25901750728924</v>
      </c>
      <c r="Q10" s="13">
        <v>2.2765164106308</v>
      </c>
      <c r="R10" s="13">
        <v>2.30291395940545</v>
      </c>
      <c r="S10" s="13">
        <v>2.3203732479405201</v>
      </c>
      <c r="T10" s="13">
        <v>2.3642172164480799</v>
      </c>
      <c r="U10" s="13">
        <v>2.4053168355103001</v>
      </c>
      <c r="V10" s="13">
        <v>2.3519755124970101</v>
      </c>
      <c r="W10" s="13">
        <v>2.3408422306286298</v>
      </c>
      <c r="X10" s="13">
        <v>2.3474188487574099</v>
      </c>
      <c r="Y10" s="13">
        <v>2.36722788639723</v>
      </c>
      <c r="Z10" s="13">
        <v>2.38170796623861</v>
      </c>
      <c r="AA10" s="13">
        <v>2.37977560548517</v>
      </c>
      <c r="AB10" s="13">
        <v>2.3845469305921401</v>
      </c>
      <c r="AC10" s="13">
        <v>2.3990494738484398</v>
      </c>
      <c r="AD10" s="13">
        <v>2.4227910394257499</v>
      </c>
      <c r="AE10" s="13">
        <v>2.4330498565991299</v>
      </c>
      <c r="AF10" s="13">
        <v>2.4782592908991101</v>
      </c>
      <c r="AG10" s="13">
        <v>2.48958598393371</v>
      </c>
      <c r="AH10" s="13">
        <v>2.4982528033804701</v>
      </c>
      <c r="AI10" s="13">
        <v>2.5146494553159999</v>
      </c>
      <c r="AJ10" s="13">
        <v>2.52107076869803</v>
      </c>
      <c r="AK10" s="13">
        <v>2.5313114193711401</v>
      </c>
      <c r="AL10" s="13">
        <v>2.5519818070473299</v>
      </c>
      <c r="AM10" s="13">
        <v>2.5588970948066301</v>
      </c>
      <c r="AN10" s="13">
        <v>2.5563607318916199</v>
      </c>
      <c r="AO10" s="13">
        <v>2.5757018498037501</v>
      </c>
      <c r="AP10" s="13">
        <v>2.5903118852466198</v>
      </c>
      <c r="AQ10" s="13">
        <v>2.5984834377108701</v>
      </c>
      <c r="AR10" s="13">
        <v>2.6097667453760698</v>
      </c>
      <c r="AS10" s="13">
        <v>2.6162580136308198</v>
      </c>
      <c r="AT10" s="13">
        <v>2.6185435816407101</v>
      </c>
      <c r="AU10" s="13">
        <v>2.6130742036410601</v>
      </c>
      <c r="AV10" s="13">
        <v>2.6248654931503501</v>
      </c>
      <c r="AW10" s="13">
        <v>2.6210903132751202</v>
      </c>
      <c r="AX10" s="13">
        <v>2.62812001494735</v>
      </c>
      <c r="AY10" s="13">
        <v>2.6195672059792101</v>
      </c>
      <c r="AZ10" s="13">
        <v>2.6445845101286198</v>
      </c>
      <c r="BA10" s="13">
        <v>2.6645119184811499</v>
      </c>
      <c r="BB10" s="13">
        <v>2.6793127669589998</v>
      </c>
      <c r="BC10" s="13">
        <v>2.69196801581622</v>
      </c>
      <c r="BD10" s="13">
        <v>2.6963999173151398</v>
      </c>
      <c r="BE10" s="13">
        <v>2.70820199309592</v>
      </c>
      <c r="BF10" s="13">
        <v>2.7228199938442401</v>
      </c>
      <c r="BG10" s="13">
        <v>2.7581855200157999</v>
      </c>
      <c r="BH10" s="13">
        <v>2.7725868388914199</v>
      </c>
      <c r="BI10" s="13">
        <v>2.7794261240196301</v>
      </c>
      <c r="BJ10" s="13">
        <v>2.79252284616837</v>
      </c>
      <c r="BK10" s="13">
        <v>2.80204068249218</v>
      </c>
      <c r="BL10" s="13">
        <v>2.8122450644763202</v>
      </c>
      <c r="BM10" s="13">
        <v>2.8300584393122699</v>
      </c>
      <c r="BN10" s="13">
        <v>2.84208162724111</v>
      </c>
      <c r="BO10" s="13">
        <v>2.8551686160991401</v>
      </c>
      <c r="BP10" s="13">
        <v>2.8532778182259202</v>
      </c>
      <c r="BQ10" s="13">
        <v>2.8766732544002802</v>
      </c>
      <c r="BR10" s="13">
        <v>2.8982648495135899</v>
      </c>
      <c r="BS10" s="13">
        <v>2.9160216774221999</v>
      </c>
      <c r="BT10" s="13">
        <v>2.9654626403941302</v>
      </c>
      <c r="BU10" s="13">
        <v>3.0081548337632902</v>
      </c>
      <c r="BV10" s="13">
        <v>3.0630482422248799</v>
      </c>
      <c r="BW10" s="13">
        <v>3.1259030163817498</v>
      </c>
      <c r="BX10" s="13">
        <v>3.2014215237569101</v>
      </c>
      <c r="BY10" s="13">
        <v>3.2538360600876799</v>
      </c>
      <c r="BZ10" s="13">
        <v>3.3031965097870799</v>
      </c>
      <c r="CA10" s="13">
        <v>3.3480395194667398</v>
      </c>
      <c r="CB10" s="13">
        <v>3.3772072582577199</v>
      </c>
      <c r="CC10" s="13">
        <v>3.4094675504554299</v>
      </c>
      <c r="CD10" s="13">
        <v>3.4424749536492398</v>
      </c>
      <c r="CE10" s="13">
        <v>3.4743211894451802</v>
      </c>
      <c r="CF10" s="13">
        <v>3.5006039732964802</v>
      </c>
      <c r="CG10" s="13">
        <v>3.5303989876569202</v>
      </c>
      <c r="CH10" s="13">
        <v>3.5628674447020598</v>
      </c>
      <c r="CI10" s="13">
        <v>3.5914669049492498</v>
      </c>
      <c r="CJ10" s="13">
        <v>3.6209181772272898</v>
      </c>
      <c r="CK10" s="13">
        <v>3.6499561132707901</v>
      </c>
      <c r="CL10" s="13">
        <v>3.6803370088943401</v>
      </c>
      <c r="CM10" s="13">
        <v>3.7115944324369101</v>
      </c>
      <c r="CN10" s="13">
        <v>3.7424449232069499</v>
      </c>
      <c r="CO10" s="13">
        <v>3.7735168503534799</v>
      </c>
      <c r="CP10" s="13">
        <v>3.8051953825342602</v>
      </c>
      <c r="CQ10" s="13">
        <v>3.8381085422962502</v>
      </c>
      <c r="CR10" s="13">
        <v>3.8709313876845499</v>
      </c>
      <c r="CS10" s="13">
        <v>3.9029692393289599</v>
      </c>
      <c r="CT10" s="13">
        <v>3.9358493172804301</v>
      </c>
    </row>
    <row r="12" spans="1:98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98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98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98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BZ15" s="15" t="s">
        <v>115</v>
      </c>
      <c r="CA15" s="16"/>
      <c r="CB15" s="16"/>
      <c r="CC15" s="17" t="s">
        <v>116</v>
      </c>
      <c r="CD15" s="18"/>
      <c r="CE15" s="18"/>
      <c r="CF15" s="18"/>
      <c r="CG15" s="18"/>
      <c r="CH15" s="18"/>
      <c r="CI15" s="16"/>
      <c r="CJ15" s="16"/>
      <c r="CK15" s="16"/>
    </row>
    <row r="16" spans="1:98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BZ16" s="19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1"/>
    </row>
    <row r="17" spans="3:89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BZ17" s="23"/>
      <c r="CA17" s="24" t="s">
        <v>117</v>
      </c>
      <c r="CB17" s="25" t="str">
        <f>CB7</f>
        <v>2023Q2</v>
      </c>
      <c r="CC17" s="16"/>
      <c r="CD17" s="16"/>
      <c r="CE17" s="16"/>
      <c r="CF17" s="16"/>
      <c r="CG17" s="16"/>
      <c r="CH17" s="16"/>
      <c r="CI17" s="16"/>
      <c r="CJ17" s="16"/>
      <c r="CK17" s="26"/>
    </row>
    <row r="18" spans="3:89">
      <c r="BZ18" s="23"/>
      <c r="CA18" s="16"/>
      <c r="CB18" s="27" t="s">
        <v>118</v>
      </c>
      <c r="CC18" s="16"/>
      <c r="CD18" s="16"/>
      <c r="CE18" s="16"/>
      <c r="CF18" s="16"/>
      <c r="CG18" s="16"/>
      <c r="CH18" s="16"/>
      <c r="CI18" s="16"/>
      <c r="CJ18" s="16"/>
      <c r="CK18" s="28" t="s">
        <v>119</v>
      </c>
    </row>
    <row r="19" spans="3:89">
      <c r="BZ19" s="23"/>
      <c r="CA19" s="16"/>
      <c r="CB19" s="29">
        <f>CB9</f>
        <v>3.30621025530152</v>
      </c>
      <c r="CC19" s="30"/>
      <c r="CD19" s="16"/>
      <c r="CE19" s="16"/>
      <c r="CF19" s="16"/>
      <c r="CG19" s="16"/>
      <c r="CH19" s="16"/>
      <c r="CI19" s="16"/>
      <c r="CJ19" s="16"/>
      <c r="CK19" s="31">
        <f>CB19</f>
        <v>3.30621025530152</v>
      </c>
    </row>
    <row r="20" spans="3:89">
      <c r="BZ20" s="23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32"/>
    </row>
    <row r="21" spans="3:89">
      <c r="BZ21" s="608" t="s">
        <v>120</v>
      </c>
      <c r="CA21" s="609"/>
      <c r="CB21" s="609"/>
      <c r="CC21" s="16" t="s">
        <v>121</v>
      </c>
      <c r="CD21" s="16"/>
      <c r="CE21" s="16"/>
      <c r="CF21" s="16"/>
      <c r="CG21" s="16"/>
      <c r="CH21" s="16"/>
      <c r="CI21" s="16"/>
      <c r="CJ21" s="16"/>
      <c r="CK21" s="32"/>
    </row>
    <row r="22" spans="3:89">
      <c r="BZ22" s="33"/>
      <c r="CA22" s="24"/>
      <c r="CB22" s="25" t="str">
        <f>CC7</f>
        <v>2023Q3</v>
      </c>
      <c r="CC22" s="25" t="str">
        <f t="shared" ref="CC22:CI22" si="0">CD7</f>
        <v>2023Q4</v>
      </c>
      <c r="CD22" s="25" t="str">
        <f t="shared" si="0"/>
        <v>2024Q1</v>
      </c>
      <c r="CE22" s="25" t="str">
        <f t="shared" si="0"/>
        <v>2024Q2</v>
      </c>
      <c r="CF22" s="25" t="str">
        <f t="shared" si="0"/>
        <v>2024Q3</v>
      </c>
      <c r="CG22" s="25" t="str">
        <f t="shared" si="0"/>
        <v>2024Q4</v>
      </c>
      <c r="CH22" s="25" t="str">
        <f t="shared" si="0"/>
        <v>2025Q1</v>
      </c>
      <c r="CI22" s="25" t="str">
        <f t="shared" si="0"/>
        <v>2025Q2</v>
      </c>
      <c r="CJ22" s="16"/>
      <c r="CK22" s="32"/>
    </row>
    <row r="23" spans="3:89">
      <c r="BZ23" s="23"/>
      <c r="CA23" s="16"/>
      <c r="CB23" s="34" t="str">
        <f>CC6</f>
        <v>FY24</v>
      </c>
      <c r="CC23" s="34" t="str">
        <f t="shared" ref="CC23:CI23" si="1">CD6</f>
        <v>FY24</v>
      </c>
      <c r="CD23" s="34" t="str">
        <f t="shared" si="1"/>
        <v>FY24</v>
      </c>
      <c r="CE23" s="34" t="str">
        <f t="shared" si="1"/>
        <v>FY24</v>
      </c>
      <c r="CF23" s="34" t="str">
        <f t="shared" si="1"/>
        <v>FY25</v>
      </c>
      <c r="CG23" s="34" t="str">
        <f t="shared" si="1"/>
        <v>FY25</v>
      </c>
      <c r="CH23" s="34" t="str">
        <f t="shared" si="1"/>
        <v>FY25</v>
      </c>
      <c r="CI23" s="34" t="str">
        <f t="shared" si="1"/>
        <v>FY25</v>
      </c>
      <c r="CJ23" s="16"/>
      <c r="CK23" s="32"/>
    </row>
    <row r="24" spans="3:89">
      <c r="BZ24" s="23"/>
      <c r="CA24" s="16"/>
      <c r="CB24" s="35">
        <f>CC9</f>
        <v>3.3272304548242801</v>
      </c>
      <c r="CC24" s="35">
        <f t="shared" ref="CC24:CI24" si="2">CD9</f>
        <v>3.3506000676307002</v>
      </c>
      <c r="CD24" s="35">
        <f t="shared" si="2"/>
        <v>3.3713855548821599</v>
      </c>
      <c r="CE24" s="35">
        <f t="shared" si="2"/>
        <v>3.3883014039568402</v>
      </c>
      <c r="CF24" s="35">
        <f t="shared" si="2"/>
        <v>3.4080858525713902</v>
      </c>
      <c r="CG24" s="35">
        <f t="shared" si="2"/>
        <v>3.42941797508669</v>
      </c>
      <c r="CH24" s="35">
        <f t="shared" si="2"/>
        <v>3.4464785567767202</v>
      </c>
      <c r="CI24" s="35">
        <f t="shared" si="2"/>
        <v>3.46378925221474</v>
      </c>
      <c r="CJ24" s="16"/>
      <c r="CK24" s="31">
        <f>AVERAGE(CB24:CI24)</f>
        <v>3.3981611397429399</v>
      </c>
    </row>
    <row r="25" spans="3:89">
      <c r="BZ25" s="23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32"/>
    </row>
    <row r="26" spans="3:89">
      <c r="BZ26" s="23"/>
      <c r="CA26" s="16"/>
      <c r="CB26" s="16"/>
      <c r="CC26" s="16"/>
      <c r="CD26" s="16"/>
      <c r="CE26" s="16"/>
      <c r="CF26" s="16"/>
      <c r="CG26" s="16"/>
      <c r="CH26" s="16"/>
      <c r="CI26" s="16"/>
      <c r="CJ26" s="36" t="s">
        <v>122</v>
      </c>
      <c r="CK26" s="37">
        <f>(CK24-CK19)/CK19</f>
        <v>2.7811565914169036E-2</v>
      </c>
    </row>
    <row r="27" spans="3:89">
      <c r="BZ27" s="38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40"/>
    </row>
  </sheetData>
  <mergeCells count="2">
    <mergeCell ref="A1:B1"/>
    <mergeCell ref="BZ21:CB21"/>
  </mergeCells>
  <pageMargins left="0.25" right="0.2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18DE-3204-4634-962D-4EA1028385F8}">
  <sheetPr>
    <pageSetUpPr fitToPage="1"/>
  </sheetPr>
  <dimension ref="B1:F50"/>
  <sheetViews>
    <sheetView showGridLines="0" topLeftCell="A28" zoomScale="60" zoomScaleNormal="60" workbookViewId="0">
      <selection activeCell="L17" sqref="L17"/>
    </sheetView>
  </sheetViews>
  <sheetFormatPr defaultRowHeight="26.25"/>
  <cols>
    <col min="1" max="1" width="5.5703125" style="41" customWidth="1"/>
    <col min="2" max="2" width="58" style="41" customWidth="1"/>
    <col min="3" max="3" width="24.140625" style="41" customWidth="1"/>
    <col min="4" max="4" width="69.140625" style="41" customWidth="1"/>
    <col min="5" max="5" width="69.140625" style="43" customWidth="1"/>
    <col min="6" max="6" width="44" style="43" customWidth="1"/>
    <col min="7" max="243" width="8.7109375" style="41"/>
    <col min="244" max="244" width="5.5703125" style="41" customWidth="1"/>
    <col min="245" max="245" width="58" style="41" customWidth="1"/>
    <col min="246" max="246" width="24.140625" style="41" customWidth="1"/>
    <col min="247" max="248" width="0" style="41" hidden="1" customWidth="1"/>
    <col min="249" max="249" width="61.42578125" style="41" customWidth="1"/>
    <col min="250" max="250" width="62.140625" style="41" customWidth="1"/>
    <col min="251" max="254" width="0" style="41" hidden="1" customWidth="1"/>
    <col min="255" max="499" width="8.7109375" style="41"/>
    <col min="500" max="500" width="5.5703125" style="41" customWidth="1"/>
    <col min="501" max="501" width="58" style="41" customWidth="1"/>
    <col min="502" max="502" width="24.140625" style="41" customWidth="1"/>
    <col min="503" max="504" width="0" style="41" hidden="1" customWidth="1"/>
    <col min="505" max="505" width="61.42578125" style="41" customWidth="1"/>
    <col min="506" max="506" width="62.140625" style="41" customWidth="1"/>
    <col min="507" max="510" width="0" style="41" hidden="1" customWidth="1"/>
    <col min="511" max="755" width="8.7109375" style="41"/>
    <col min="756" max="756" width="5.5703125" style="41" customWidth="1"/>
    <col min="757" max="757" width="58" style="41" customWidth="1"/>
    <col min="758" max="758" width="24.140625" style="41" customWidth="1"/>
    <col min="759" max="760" width="0" style="41" hidden="1" customWidth="1"/>
    <col min="761" max="761" width="61.42578125" style="41" customWidth="1"/>
    <col min="762" max="762" width="62.140625" style="41" customWidth="1"/>
    <col min="763" max="766" width="0" style="41" hidden="1" customWidth="1"/>
    <col min="767" max="1011" width="8.7109375" style="41"/>
    <col min="1012" max="1012" width="5.5703125" style="41" customWidth="1"/>
    <col min="1013" max="1013" width="58" style="41" customWidth="1"/>
    <col min="1014" max="1014" width="24.140625" style="41" customWidth="1"/>
    <col min="1015" max="1016" width="0" style="41" hidden="1" customWidth="1"/>
    <col min="1017" max="1017" width="61.42578125" style="41" customWidth="1"/>
    <col min="1018" max="1018" width="62.140625" style="41" customWidth="1"/>
    <col min="1019" max="1022" width="0" style="41" hidden="1" customWidth="1"/>
    <col min="1023" max="1267" width="8.7109375" style="41"/>
    <col min="1268" max="1268" width="5.5703125" style="41" customWidth="1"/>
    <col min="1269" max="1269" width="58" style="41" customWidth="1"/>
    <col min="1270" max="1270" width="24.140625" style="41" customWidth="1"/>
    <col min="1271" max="1272" width="0" style="41" hidden="1" customWidth="1"/>
    <col min="1273" max="1273" width="61.42578125" style="41" customWidth="1"/>
    <col min="1274" max="1274" width="62.140625" style="41" customWidth="1"/>
    <col min="1275" max="1278" width="0" style="41" hidden="1" customWidth="1"/>
    <col min="1279" max="1523" width="8.7109375" style="41"/>
    <col min="1524" max="1524" width="5.5703125" style="41" customWidth="1"/>
    <col min="1525" max="1525" width="58" style="41" customWidth="1"/>
    <col min="1526" max="1526" width="24.140625" style="41" customWidth="1"/>
    <col min="1527" max="1528" width="0" style="41" hidden="1" customWidth="1"/>
    <col min="1529" max="1529" width="61.42578125" style="41" customWidth="1"/>
    <col min="1530" max="1530" width="62.140625" style="41" customWidth="1"/>
    <col min="1531" max="1534" width="0" style="41" hidden="1" customWidth="1"/>
    <col min="1535" max="1779" width="8.7109375" style="41"/>
    <col min="1780" max="1780" width="5.5703125" style="41" customWidth="1"/>
    <col min="1781" max="1781" width="58" style="41" customWidth="1"/>
    <col min="1782" max="1782" width="24.140625" style="41" customWidth="1"/>
    <col min="1783" max="1784" width="0" style="41" hidden="1" customWidth="1"/>
    <col min="1785" max="1785" width="61.42578125" style="41" customWidth="1"/>
    <col min="1786" max="1786" width="62.140625" style="41" customWidth="1"/>
    <col min="1787" max="1790" width="0" style="41" hidden="1" customWidth="1"/>
    <col min="1791" max="2035" width="8.7109375" style="41"/>
    <col min="2036" max="2036" width="5.5703125" style="41" customWidth="1"/>
    <col min="2037" max="2037" width="58" style="41" customWidth="1"/>
    <col min="2038" max="2038" width="24.140625" style="41" customWidth="1"/>
    <col min="2039" max="2040" width="0" style="41" hidden="1" customWidth="1"/>
    <col min="2041" max="2041" width="61.42578125" style="41" customWidth="1"/>
    <col min="2042" max="2042" width="62.140625" style="41" customWidth="1"/>
    <col min="2043" max="2046" width="0" style="41" hidden="1" customWidth="1"/>
    <col min="2047" max="2291" width="8.7109375" style="41"/>
    <col min="2292" max="2292" width="5.5703125" style="41" customWidth="1"/>
    <col min="2293" max="2293" width="58" style="41" customWidth="1"/>
    <col min="2294" max="2294" width="24.140625" style="41" customWidth="1"/>
    <col min="2295" max="2296" width="0" style="41" hidden="1" customWidth="1"/>
    <col min="2297" max="2297" width="61.42578125" style="41" customWidth="1"/>
    <col min="2298" max="2298" width="62.140625" style="41" customWidth="1"/>
    <col min="2299" max="2302" width="0" style="41" hidden="1" customWidth="1"/>
    <col min="2303" max="2547" width="8.7109375" style="41"/>
    <col min="2548" max="2548" width="5.5703125" style="41" customWidth="1"/>
    <col min="2549" max="2549" width="58" style="41" customWidth="1"/>
    <col min="2550" max="2550" width="24.140625" style="41" customWidth="1"/>
    <col min="2551" max="2552" width="0" style="41" hidden="1" customWidth="1"/>
    <col min="2553" max="2553" width="61.42578125" style="41" customWidth="1"/>
    <col min="2554" max="2554" width="62.140625" style="41" customWidth="1"/>
    <col min="2555" max="2558" width="0" style="41" hidden="1" customWidth="1"/>
    <col min="2559" max="2803" width="8.7109375" style="41"/>
    <col min="2804" max="2804" width="5.5703125" style="41" customWidth="1"/>
    <col min="2805" max="2805" width="58" style="41" customWidth="1"/>
    <col min="2806" max="2806" width="24.140625" style="41" customWidth="1"/>
    <col min="2807" max="2808" width="0" style="41" hidden="1" customWidth="1"/>
    <col min="2809" max="2809" width="61.42578125" style="41" customWidth="1"/>
    <col min="2810" max="2810" width="62.140625" style="41" customWidth="1"/>
    <col min="2811" max="2814" width="0" style="41" hidden="1" customWidth="1"/>
    <col min="2815" max="3059" width="8.7109375" style="41"/>
    <col min="3060" max="3060" width="5.5703125" style="41" customWidth="1"/>
    <col min="3061" max="3061" width="58" style="41" customWidth="1"/>
    <col min="3062" max="3062" width="24.140625" style="41" customWidth="1"/>
    <col min="3063" max="3064" width="0" style="41" hidden="1" customWidth="1"/>
    <col min="3065" max="3065" width="61.42578125" style="41" customWidth="1"/>
    <col min="3066" max="3066" width="62.140625" style="41" customWidth="1"/>
    <col min="3067" max="3070" width="0" style="41" hidden="1" customWidth="1"/>
    <col min="3071" max="3315" width="8.7109375" style="41"/>
    <col min="3316" max="3316" width="5.5703125" style="41" customWidth="1"/>
    <col min="3317" max="3317" width="58" style="41" customWidth="1"/>
    <col min="3318" max="3318" width="24.140625" style="41" customWidth="1"/>
    <col min="3319" max="3320" width="0" style="41" hidden="1" customWidth="1"/>
    <col min="3321" max="3321" width="61.42578125" style="41" customWidth="1"/>
    <col min="3322" max="3322" width="62.140625" style="41" customWidth="1"/>
    <col min="3323" max="3326" width="0" style="41" hidden="1" customWidth="1"/>
    <col min="3327" max="3571" width="8.7109375" style="41"/>
    <col min="3572" max="3572" width="5.5703125" style="41" customWidth="1"/>
    <col min="3573" max="3573" width="58" style="41" customWidth="1"/>
    <col min="3574" max="3574" width="24.140625" style="41" customWidth="1"/>
    <col min="3575" max="3576" width="0" style="41" hidden="1" customWidth="1"/>
    <col min="3577" max="3577" width="61.42578125" style="41" customWidth="1"/>
    <col min="3578" max="3578" width="62.140625" style="41" customWidth="1"/>
    <col min="3579" max="3582" width="0" style="41" hidden="1" customWidth="1"/>
    <col min="3583" max="3827" width="8.7109375" style="41"/>
    <col min="3828" max="3828" width="5.5703125" style="41" customWidth="1"/>
    <col min="3829" max="3829" width="58" style="41" customWidth="1"/>
    <col min="3830" max="3830" width="24.140625" style="41" customWidth="1"/>
    <col min="3831" max="3832" width="0" style="41" hidden="1" customWidth="1"/>
    <col min="3833" max="3833" width="61.42578125" style="41" customWidth="1"/>
    <col min="3834" max="3834" width="62.140625" style="41" customWidth="1"/>
    <col min="3835" max="3838" width="0" style="41" hidden="1" customWidth="1"/>
    <col min="3839" max="4083" width="8.7109375" style="41"/>
    <col min="4084" max="4084" width="5.5703125" style="41" customWidth="1"/>
    <col min="4085" max="4085" width="58" style="41" customWidth="1"/>
    <col min="4086" max="4086" width="24.140625" style="41" customWidth="1"/>
    <col min="4087" max="4088" width="0" style="41" hidden="1" customWidth="1"/>
    <col min="4089" max="4089" width="61.42578125" style="41" customWidth="1"/>
    <col min="4090" max="4090" width="62.140625" style="41" customWidth="1"/>
    <col min="4091" max="4094" width="0" style="41" hidden="1" customWidth="1"/>
    <col min="4095" max="4339" width="8.7109375" style="41"/>
    <col min="4340" max="4340" width="5.5703125" style="41" customWidth="1"/>
    <col min="4341" max="4341" width="58" style="41" customWidth="1"/>
    <col min="4342" max="4342" width="24.140625" style="41" customWidth="1"/>
    <col min="4343" max="4344" width="0" style="41" hidden="1" customWidth="1"/>
    <col min="4345" max="4345" width="61.42578125" style="41" customWidth="1"/>
    <col min="4346" max="4346" width="62.140625" style="41" customWidth="1"/>
    <col min="4347" max="4350" width="0" style="41" hidden="1" customWidth="1"/>
    <col min="4351" max="4595" width="8.7109375" style="41"/>
    <col min="4596" max="4596" width="5.5703125" style="41" customWidth="1"/>
    <col min="4597" max="4597" width="58" style="41" customWidth="1"/>
    <col min="4598" max="4598" width="24.140625" style="41" customWidth="1"/>
    <col min="4599" max="4600" width="0" style="41" hidden="1" customWidth="1"/>
    <col min="4601" max="4601" width="61.42578125" style="41" customWidth="1"/>
    <col min="4602" max="4602" width="62.140625" style="41" customWidth="1"/>
    <col min="4603" max="4606" width="0" style="41" hidden="1" customWidth="1"/>
    <col min="4607" max="4851" width="8.7109375" style="41"/>
    <col min="4852" max="4852" width="5.5703125" style="41" customWidth="1"/>
    <col min="4853" max="4853" width="58" style="41" customWidth="1"/>
    <col min="4854" max="4854" width="24.140625" style="41" customWidth="1"/>
    <col min="4855" max="4856" width="0" style="41" hidden="1" customWidth="1"/>
    <col min="4857" max="4857" width="61.42578125" style="41" customWidth="1"/>
    <col min="4858" max="4858" width="62.140625" style="41" customWidth="1"/>
    <col min="4859" max="4862" width="0" style="41" hidden="1" customWidth="1"/>
    <col min="4863" max="5107" width="8.7109375" style="41"/>
    <col min="5108" max="5108" width="5.5703125" style="41" customWidth="1"/>
    <col min="5109" max="5109" width="58" style="41" customWidth="1"/>
    <col min="5110" max="5110" width="24.140625" style="41" customWidth="1"/>
    <col min="5111" max="5112" width="0" style="41" hidden="1" customWidth="1"/>
    <col min="5113" max="5113" width="61.42578125" style="41" customWidth="1"/>
    <col min="5114" max="5114" width="62.140625" style="41" customWidth="1"/>
    <col min="5115" max="5118" width="0" style="41" hidden="1" customWidth="1"/>
    <col min="5119" max="5363" width="8.7109375" style="41"/>
    <col min="5364" max="5364" width="5.5703125" style="41" customWidth="1"/>
    <col min="5365" max="5365" width="58" style="41" customWidth="1"/>
    <col min="5366" max="5366" width="24.140625" style="41" customWidth="1"/>
    <col min="5367" max="5368" width="0" style="41" hidden="1" customWidth="1"/>
    <col min="5369" max="5369" width="61.42578125" style="41" customWidth="1"/>
    <col min="5370" max="5370" width="62.140625" style="41" customWidth="1"/>
    <col min="5371" max="5374" width="0" style="41" hidden="1" customWidth="1"/>
    <col min="5375" max="5619" width="8.7109375" style="41"/>
    <col min="5620" max="5620" width="5.5703125" style="41" customWidth="1"/>
    <col min="5621" max="5621" width="58" style="41" customWidth="1"/>
    <col min="5622" max="5622" width="24.140625" style="41" customWidth="1"/>
    <col min="5623" max="5624" width="0" style="41" hidden="1" customWidth="1"/>
    <col min="5625" max="5625" width="61.42578125" style="41" customWidth="1"/>
    <col min="5626" max="5626" width="62.140625" style="41" customWidth="1"/>
    <col min="5627" max="5630" width="0" style="41" hidden="1" customWidth="1"/>
    <col min="5631" max="5875" width="8.7109375" style="41"/>
    <col min="5876" max="5876" width="5.5703125" style="41" customWidth="1"/>
    <col min="5877" max="5877" width="58" style="41" customWidth="1"/>
    <col min="5878" max="5878" width="24.140625" style="41" customWidth="1"/>
    <col min="5879" max="5880" width="0" style="41" hidden="1" customWidth="1"/>
    <col min="5881" max="5881" width="61.42578125" style="41" customWidth="1"/>
    <col min="5882" max="5882" width="62.140625" style="41" customWidth="1"/>
    <col min="5883" max="5886" width="0" style="41" hidden="1" customWidth="1"/>
    <col min="5887" max="6131" width="8.7109375" style="41"/>
    <col min="6132" max="6132" width="5.5703125" style="41" customWidth="1"/>
    <col min="6133" max="6133" width="58" style="41" customWidth="1"/>
    <col min="6134" max="6134" width="24.140625" style="41" customWidth="1"/>
    <col min="6135" max="6136" width="0" style="41" hidden="1" customWidth="1"/>
    <col min="6137" max="6137" width="61.42578125" style="41" customWidth="1"/>
    <col min="6138" max="6138" width="62.140625" style="41" customWidth="1"/>
    <col min="6139" max="6142" width="0" style="41" hidden="1" customWidth="1"/>
    <col min="6143" max="6387" width="8.7109375" style="41"/>
    <col min="6388" max="6388" width="5.5703125" style="41" customWidth="1"/>
    <col min="6389" max="6389" width="58" style="41" customWidth="1"/>
    <col min="6390" max="6390" width="24.140625" style="41" customWidth="1"/>
    <col min="6391" max="6392" width="0" style="41" hidden="1" customWidth="1"/>
    <col min="6393" max="6393" width="61.42578125" style="41" customWidth="1"/>
    <col min="6394" max="6394" width="62.140625" style="41" customWidth="1"/>
    <col min="6395" max="6398" width="0" style="41" hidden="1" customWidth="1"/>
    <col min="6399" max="6643" width="8.7109375" style="41"/>
    <col min="6644" max="6644" width="5.5703125" style="41" customWidth="1"/>
    <col min="6645" max="6645" width="58" style="41" customWidth="1"/>
    <col min="6646" max="6646" width="24.140625" style="41" customWidth="1"/>
    <col min="6647" max="6648" width="0" style="41" hidden="1" customWidth="1"/>
    <col min="6649" max="6649" width="61.42578125" style="41" customWidth="1"/>
    <col min="6650" max="6650" width="62.140625" style="41" customWidth="1"/>
    <col min="6651" max="6654" width="0" style="41" hidden="1" customWidth="1"/>
    <col min="6655" max="6899" width="8.7109375" style="41"/>
    <col min="6900" max="6900" width="5.5703125" style="41" customWidth="1"/>
    <col min="6901" max="6901" width="58" style="41" customWidth="1"/>
    <col min="6902" max="6902" width="24.140625" style="41" customWidth="1"/>
    <col min="6903" max="6904" width="0" style="41" hidden="1" customWidth="1"/>
    <col min="6905" max="6905" width="61.42578125" style="41" customWidth="1"/>
    <col min="6906" max="6906" width="62.140625" style="41" customWidth="1"/>
    <col min="6907" max="6910" width="0" style="41" hidden="1" customWidth="1"/>
    <col min="6911" max="7155" width="8.7109375" style="41"/>
    <col min="7156" max="7156" width="5.5703125" style="41" customWidth="1"/>
    <col min="7157" max="7157" width="58" style="41" customWidth="1"/>
    <col min="7158" max="7158" width="24.140625" style="41" customWidth="1"/>
    <col min="7159" max="7160" width="0" style="41" hidden="1" customWidth="1"/>
    <col min="7161" max="7161" width="61.42578125" style="41" customWidth="1"/>
    <col min="7162" max="7162" width="62.140625" style="41" customWidth="1"/>
    <col min="7163" max="7166" width="0" style="41" hidden="1" customWidth="1"/>
    <col min="7167" max="7411" width="8.7109375" style="41"/>
    <col min="7412" max="7412" width="5.5703125" style="41" customWidth="1"/>
    <col min="7413" max="7413" width="58" style="41" customWidth="1"/>
    <col min="7414" max="7414" width="24.140625" style="41" customWidth="1"/>
    <col min="7415" max="7416" width="0" style="41" hidden="1" customWidth="1"/>
    <col min="7417" max="7417" width="61.42578125" style="41" customWidth="1"/>
    <col min="7418" max="7418" width="62.140625" style="41" customWidth="1"/>
    <col min="7419" max="7422" width="0" style="41" hidden="1" customWidth="1"/>
    <col min="7423" max="7667" width="8.7109375" style="41"/>
    <col min="7668" max="7668" width="5.5703125" style="41" customWidth="1"/>
    <col min="7669" max="7669" width="58" style="41" customWidth="1"/>
    <col min="7670" max="7670" width="24.140625" style="41" customWidth="1"/>
    <col min="7671" max="7672" width="0" style="41" hidden="1" customWidth="1"/>
    <col min="7673" max="7673" width="61.42578125" style="41" customWidth="1"/>
    <col min="7674" max="7674" width="62.140625" style="41" customWidth="1"/>
    <col min="7675" max="7678" width="0" style="41" hidden="1" customWidth="1"/>
    <col min="7679" max="7923" width="8.7109375" style="41"/>
    <col min="7924" max="7924" width="5.5703125" style="41" customWidth="1"/>
    <col min="7925" max="7925" width="58" style="41" customWidth="1"/>
    <col min="7926" max="7926" width="24.140625" style="41" customWidth="1"/>
    <col min="7927" max="7928" width="0" style="41" hidden="1" customWidth="1"/>
    <col min="7929" max="7929" width="61.42578125" style="41" customWidth="1"/>
    <col min="7930" max="7930" width="62.140625" style="41" customWidth="1"/>
    <col min="7931" max="7934" width="0" style="41" hidden="1" customWidth="1"/>
    <col min="7935" max="8179" width="8.7109375" style="41"/>
    <col min="8180" max="8180" width="5.5703125" style="41" customWidth="1"/>
    <col min="8181" max="8181" width="58" style="41" customWidth="1"/>
    <col min="8182" max="8182" width="24.140625" style="41" customWidth="1"/>
    <col min="8183" max="8184" width="0" style="41" hidden="1" customWidth="1"/>
    <col min="8185" max="8185" width="61.42578125" style="41" customWidth="1"/>
    <col min="8186" max="8186" width="62.140625" style="41" customWidth="1"/>
    <col min="8187" max="8190" width="0" style="41" hidden="1" customWidth="1"/>
    <col min="8191" max="8435" width="8.7109375" style="41"/>
    <col min="8436" max="8436" width="5.5703125" style="41" customWidth="1"/>
    <col min="8437" max="8437" width="58" style="41" customWidth="1"/>
    <col min="8438" max="8438" width="24.140625" style="41" customWidth="1"/>
    <col min="8439" max="8440" width="0" style="41" hidden="1" customWidth="1"/>
    <col min="8441" max="8441" width="61.42578125" style="41" customWidth="1"/>
    <col min="8442" max="8442" width="62.140625" style="41" customWidth="1"/>
    <col min="8443" max="8446" width="0" style="41" hidden="1" customWidth="1"/>
    <col min="8447" max="8691" width="8.7109375" style="41"/>
    <col min="8692" max="8692" width="5.5703125" style="41" customWidth="1"/>
    <col min="8693" max="8693" width="58" style="41" customWidth="1"/>
    <col min="8694" max="8694" width="24.140625" style="41" customWidth="1"/>
    <col min="8695" max="8696" width="0" style="41" hidden="1" customWidth="1"/>
    <col min="8697" max="8697" width="61.42578125" style="41" customWidth="1"/>
    <col min="8698" max="8698" width="62.140625" style="41" customWidth="1"/>
    <col min="8699" max="8702" width="0" style="41" hidden="1" customWidth="1"/>
    <col min="8703" max="8947" width="8.7109375" style="41"/>
    <col min="8948" max="8948" width="5.5703125" style="41" customWidth="1"/>
    <col min="8949" max="8949" width="58" style="41" customWidth="1"/>
    <col min="8950" max="8950" width="24.140625" style="41" customWidth="1"/>
    <col min="8951" max="8952" width="0" style="41" hidden="1" customWidth="1"/>
    <col min="8953" max="8953" width="61.42578125" style="41" customWidth="1"/>
    <col min="8954" max="8954" width="62.140625" style="41" customWidth="1"/>
    <col min="8955" max="8958" width="0" style="41" hidden="1" customWidth="1"/>
    <col min="8959" max="9203" width="8.7109375" style="41"/>
    <col min="9204" max="9204" width="5.5703125" style="41" customWidth="1"/>
    <col min="9205" max="9205" width="58" style="41" customWidth="1"/>
    <col min="9206" max="9206" width="24.140625" style="41" customWidth="1"/>
    <col min="9207" max="9208" width="0" style="41" hidden="1" customWidth="1"/>
    <col min="9209" max="9209" width="61.42578125" style="41" customWidth="1"/>
    <col min="9210" max="9210" width="62.140625" style="41" customWidth="1"/>
    <col min="9211" max="9214" width="0" style="41" hidden="1" customWidth="1"/>
    <col min="9215" max="9459" width="8.7109375" style="41"/>
    <col min="9460" max="9460" width="5.5703125" style="41" customWidth="1"/>
    <col min="9461" max="9461" width="58" style="41" customWidth="1"/>
    <col min="9462" max="9462" width="24.140625" style="41" customWidth="1"/>
    <col min="9463" max="9464" width="0" style="41" hidden="1" customWidth="1"/>
    <col min="9465" max="9465" width="61.42578125" style="41" customWidth="1"/>
    <col min="9466" max="9466" width="62.140625" style="41" customWidth="1"/>
    <col min="9467" max="9470" width="0" style="41" hidden="1" customWidth="1"/>
    <col min="9471" max="9715" width="8.7109375" style="41"/>
    <col min="9716" max="9716" width="5.5703125" style="41" customWidth="1"/>
    <col min="9717" max="9717" width="58" style="41" customWidth="1"/>
    <col min="9718" max="9718" width="24.140625" style="41" customWidth="1"/>
    <col min="9719" max="9720" width="0" style="41" hidden="1" customWidth="1"/>
    <col min="9721" max="9721" width="61.42578125" style="41" customWidth="1"/>
    <col min="9722" max="9722" width="62.140625" style="41" customWidth="1"/>
    <col min="9723" max="9726" width="0" style="41" hidden="1" customWidth="1"/>
    <col min="9727" max="9971" width="8.7109375" style="41"/>
    <col min="9972" max="9972" width="5.5703125" style="41" customWidth="1"/>
    <col min="9973" max="9973" width="58" style="41" customWidth="1"/>
    <col min="9974" max="9974" width="24.140625" style="41" customWidth="1"/>
    <col min="9975" max="9976" width="0" style="41" hidden="1" customWidth="1"/>
    <col min="9977" max="9977" width="61.42578125" style="41" customWidth="1"/>
    <col min="9978" max="9978" width="62.140625" style="41" customWidth="1"/>
    <col min="9979" max="9982" width="0" style="41" hidden="1" customWidth="1"/>
    <col min="9983" max="10227" width="8.7109375" style="41"/>
    <col min="10228" max="10228" width="5.5703125" style="41" customWidth="1"/>
    <col min="10229" max="10229" width="58" style="41" customWidth="1"/>
    <col min="10230" max="10230" width="24.140625" style="41" customWidth="1"/>
    <col min="10231" max="10232" width="0" style="41" hidden="1" customWidth="1"/>
    <col min="10233" max="10233" width="61.42578125" style="41" customWidth="1"/>
    <col min="10234" max="10234" width="62.140625" style="41" customWidth="1"/>
    <col min="10235" max="10238" width="0" style="41" hidden="1" customWidth="1"/>
    <col min="10239" max="10483" width="8.7109375" style="41"/>
    <col min="10484" max="10484" width="5.5703125" style="41" customWidth="1"/>
    <col min="10485" max="10485" width="58" style="41" customWidth="1"/>
    <col min="10486" max="10486" width="24.140625" style="41" customWidth="1"/>
    <col min="10487" max="10488" width="0" style="41" hidden="1" customWidth="1"/>
    <col min="10489" max="10489" width="61.42578125" style="41" customWidth="1"/>
    <col min="10490" max="10490" width="62.140625" style="41" customWidth="1"/>
    <col min="10491" max="10494" width="0" style="41" hidden="1" customWidth="1"/>
    <col min="10495" max="10739" width="8.7109375" style="41"/>
    <col min="10740" max="10740" width="5.5703125" style="41" customWidth="1"/>
    <col min="10741" max="10741" width="58" style="41" customWidth="1"/>
    <col min="10742" max="10742" width="24.140625" style="41" customWidth="1"/>
    <col min="10743" max="10744" width="0" style="41" hidden="1" customWidth="1"/>
    <col min="10745" max="10745" width="61.42578125" style="41" customWidth="1"/>
    <col min="10746" max="10746" width="62.140625" style="41" customWidth="1"/>
    <col min="10747" max="10750" width="0" style="41" hidden="1" customWidth="1"/>
    <col min="10751" max="10995" width="8.7109375" style="41"/>
    <col min="10996" max="10996" width="5.5703125" style="41" customWidth="1"/>
    <col min="10997" max="10997" width="58" style="41" customWidth="1"/>
    <col min="10998" max="10998" width="24.140625" style="41" customWidth="1"/>
    <col min="10999" max="11000" width="0" style="41" hidden="1" customWidth="1"/>
    <col min="11001" max="11001" width="61.42578125" style="41" customWidth="1"/>
    <col min="11002" max="11002" width="62.140625" style="41" customWidth="1"/>
    <col min="11003" max="11006" width="0" style="41" hidden="1" customWidth="1"/>
    <col min="11007" max="11251" width="8.7109375" style="41"/>
    <col min="11252" max="11252" width="5.5703125" style="41" customWidth="1"/>
    <col min="11253" max="11253" width="58" style="41" customWidth="1"/>
    <col min="11254" max="11254" width="24.140625" style="41" customWidth="1"/>
    <col min="11255" max="11256" width="0" style="41" hidden="1" customWidth="1"/>
    <col min="11257" max="11257" width="61.42578125" style="41" customWidth="1"/>
    <col min="11258" max="11258" width="62.140625" style="41" customWidth="1"/>
    <col min="11259" max="11262" width="0" style="41" hidden="1" customWidth="1"/>
    <col min="11263" max="11507" width="8.7109375" style="41"/>
    <col min="11508" max="11508" width="5.5703125" style="41" customWidth="1"/>
    <col min="11509" max="11509" width="58" style="41" customWidth="1"/>
    <col min="11510" max="11510" width="24.140625" style="41" customWidth="1"/>
    <col min="11511" max="11512" width="0" style="41" hidden="1" customWidth="1"/>
    <col min="11513" max="11513" width="61.42578125" style="41" customWidth="1"/>
    <col min="11514" max="11514" width="62.140625" style="41" customWidth="1"/>
    <col min="11515" max="11518" width="0" style="41" hidden="1" customWidth="1"/>
    <col min="11519" max="11763" width="8.7109375" style="41"/>
    <col min="11764" max="11764" width="5.5703125" style="41" customWidth="1"/>
    <col min="11765" max="11765" width="58" style="41" customWidth="1"/>
    <col min="11766" max="11766" width="24.140625" style="41" customWidth="1"/>
    <col min="11767" max="11768" width="0" style="41" hidden="1" customWidth="1"/>
    <col min="11769" max="11769" width="61.42578125" style="41" customWidth="1"/>
    <col min="11770" max="11770" width="62.140625" style="41" customWidth="1"/>
    <col min="11771" max="11774" width="0" style="41" hidden="1" customWidth="1"/>
    <col min="11775" max="12019" width="8.7109375" style="41"/>
    <col min="12020" max="12020" width="5.5703125" style="41" customWidth="1"/>
    <col min="12021" max="12021" width="58" style="41" customWidth="1"/>
    <col min="12022" max="12022" width="24.140625" style="41" customWidth="1"/>
    <col min="12023" max="12024" width="0" style="41" hidden="1" customWidth="1"/>
    <col min="12025" max="12025" width="61.42578125" style="41" customWidth="1"/>
    <col min="12026" max="12026" width="62.140625" style="41" customWidth="1"/>
    <col min="12027" max="12030" width="0" style="41" hidden="1" customWidth="1"/>
    <col min="12031" max="12275" width="8.7109375" style="41"/>
    <col min="12276" max="12276" width="5.5703125" style="41" customWidth="1"/>
    <col min="12277" max="12277" width="58" style="41" customWidth="1"/>
    <col min="12278" max="12278" width="24.140625" style="41" customWidth="1"/>
    <col min="12279" max="12280" width="0" style="41" hidden="1" customWidth="1"/>
    <col min="12281" max="12281" width="61.42578125" style="41" customWidth="1"/>
    <col min="12282" max="12282" width="62.140625" style="41" customWidth="1"/>
    <col min="12283" max="12286" width="0" style="41" hidden="1" customWidth="1"/>
    <col min="12287" max="12531" width="8.7109375" style="41"/>
    <col min="12532" max="12532" width="5.5703125" style="41" customWidth="1"/>
    <col min="12533" max="12533" width="58" style="41" customWidth="1"/>
    <col min="12534" max="12534" width="24.140625" style="41" customWidth="1"/>
    <col min="12535" max="12536" width="0" style="41" hidden="1" customWidth="1"/>
    <col min="12537" max="12537" width="61.42578125" style="41" customWidth="1"/>
    <col min="12538" max="12538" width="62.140625" style="41" customWidth="1"/>
    <col min="12539" max="12542" width="0" style="41" hidden="1" customWidth="1"/>
    <col min="12543" max="12787" width="8.7109375" style="41"/>
    <col min="12788" max="12788" width="5.5703125" style="41" customWidth="1"/>
    <col min="12789" max="12789" width="58" style="41" customWidth="1"/>
    <col min="12790" max="12790" width="24.140625" style="41" customWidth="1"/>
    <col min="12791" max="12792" width="0" style="41" hidden="1" customWidth="1"/>
    <col min="12793" max="12793" width="61.42578125" style="41" customWidth="1"/>
    <col min="12794" max="12794" width="62.140625" style="41" customWidth="1"/>
    <col min="12795" max="12798" width="0" style="41" hidden="1" customWidth="1"/>
    <col min="12799" max="13043" width="8.7109375" style="41"/>
    <col min="13044" max="13044" width="5.5703125" style="41" customWidth="1"/>
    <col min="13045" max="13045" width="58" style="41" customWidth="1"/>
    <col min="13046" max="13046" width="24.140625" style="41" customWidth="1"/>
    <col min="13047" max="13048" width="0" style="41" hidden="1" customWidth="1"/>
    <col min="13049" max="13049" width="61.42578125" style="41" customWidth="1"/>
    <col min="13050" max="13050" width="62.140625" style="41" customWidth="1"/>
    <col min="13051" max="13054" width="0" style="41" hidden="1" customWidth="1"/>
    <col min="13055" max="13299" width="8.7109375" style="41"/>
    <col min="13300" max="13300" width="5.5703125" style="41" customWidth="1"/>
    <col min="13301" max="13301" width="58" style="41" customWidth="1"/>
    <col min="13302" max="13302" width="24.140625" style="41" customWidth="1"/>
    <col min="13303" max="13304" width="0" style="41" hidden="1" customWidth="1"/>
    <col min="13305" max="13305" width="61.42578125" style="41" customWidth="1"/>
    <col min="13306" max="13306" width="62.140625" style="41" customWidth="1"/>
    <col min="13307" max="13310" width="0" style="41" hidden="1" customWidth="1"/>
    <col min="13311" max="13555" width="8.7109375" style="41"/>
    <col min="13556" max="13556" width="5.5703125" style="41" customWidth="1"/>
    <col min="13557" max="13557" width="58" style="41" customWidth="1"/>
    <col min="13558" max="13558" width="24.140625" style="41" customWidth="1"/>
    <col min="13559" max="13560" width="0" style="41" hidden="1" customWidth="1"/>
    <col min="13561" max="13561" width="61.42578125" style="41" customWidth="1"/>
    <col min="13562" max="13562" width="62.140625" style="41" customWidth="1"/>
    <col min="13563" max="13566" width="0" style="41" hidden="1" customWidth="1"/>
    <col min="13567" max="13811" width="8.7109375" style="41"/>
    <col min="13812" max="13812" width="5.5703125" style="41" customWidth="1"/>
    <col min="13813" max="13813" width="58" style="41" customWidth="1"/>
    <col min="13814" max="13814" width="24.140625" style="41" customWidth="1"/>
    <col min="13815" max="13816" width="0" style="41" hidden="1" customWidth="1"/>
    <col min="13817" max="13817" width="61.42578125" style="41" customWidth="1"/>
    <col min="13818" max="13818" width="62.140625" style="41" customWidth="1"/>
    <col min="13819" max="13822" width="0" style="41" hidden="1" customWidth="1"/>
    <col min="13823" max="14067" width="8.7109375" style="41"/>
    <col min="14068" max="14068" width="5.5703125" style="41" customWidth="1"/>
    <col min="14069" max="14069" width="58" style="41" customWidth="1"/>
    <col min="14070" max="14070" width="24.140625" style="41" customWidth="1"/>
    <col min="14071" max="14072" width="0" style="41" hidden="1" customWidth="1"/>
    <col min="14073" max="14073" width="61.42578125" style="41" customWidth="1"/>
    <col min="14074" max="14074" width="62.140625" style="41" customWidth="1"/>
    <col min="14075" max="14078" width="0" style="41" hidden="1" customWidth="1"/>
    <col min="14079" max="14323" width="8.7109375" style="41"/>
    <col min="14324" max="14324" width="5.5703125" style="41" customWidth="1"/>
    <col min="14325" max="14325" width="58" style="41" customWidth="1"/>
    <col min="14326" max="14326" width="24.140625" style="41" customWidth="1"/>
    <col min="14327" max="14328" width="0" style="41" hidden="1" customWidth="1"/>
    <col min="14329" max="14329" width="61.42578125" style="41" customWidth="1"/>
    <col min="14330" max="14330" width="62.140625" style="41" customWidth="1"/>
    <col min="14331" max="14334" width="0" style="41" hidden="1" customWidth="1"/>
    <col min="14335" max="14579" width="8.7109375" style="41"/>
    <col min="14580" max="14580" width="5.5703125" style="41" customWidth="1"/>
    <col min="14581" max="14581" width="58" style="41" customWidth="1"/>
    <col min="14582" max="14582" width="24.140625" style="41" customWidth="1"/>
    <col min="14583" max="14584" width="0" style="41" hidden="1" customWidth="1"/>
    <col min="14585" max="14585" width="61.42578125" style="41" customWidth="1"/>
    <col min="14586" max="14586" width="62.140625" style="41" customWidth="1"/>
    <col min="14587" max="14590" width="0" style="41" hidden="1" customWidth="1"/>
    <col min="14591" max="14835" width="8.7109375" style="41"/>
    <col min="14836" max="14836" width="5.5703125" style="41" customWidth="1"/>
    <col min="14837" max="14837" width="58" style="41" customWidth="1"/>
    <col min="14838" max="14838" width="24.140625" style="41" customWidth="1"/>
    <col min="14839" max="14840" width="0" style="41" hidden="1" customWidth="1"/>
    <col min="14841" max="14841" width="61.42578125" style="41" customWidth="1"/>
    <col min="14842" max="14842" width="62.140625" style="41" customWidth="1"/>
    <col min="14843" max="14846" width="0" style="41" hidden="1" customWidth="1"/>
    <col min="14847" max="15091" width="8.7109375" style="41"/>
    <col min="15092" max="15092" width="5.5703125" style="41" customWidth="1"/>
    <col min="15093" max="15093" width="58" style="41" customWidth="1"/>
    <col min="15094" max="15094" width="24.140625" style="41" customWidth="1"/>
    <col min="15095" max="15096" width="0" style="41" hidden="1" customWidth="1"/>
    <col min="15097" max="15097" width="61.42578125" style="41" customWidth="1"/>
    <col min="15098" max="15098" width="62.140625" style="41" customWidth="1"/>
    <col min="15099" max="15102" width="0" style="41" hidden="1" customWidth="1"/>
    <col min="15103" max="15347" width="8.7109375" style="41"/>
    <col min="15348" max="15348" width="5.5703125" style="41" customWidth="1"/>
    <col min="15349" max="15349" width="58" style="41" customWidth="1"/>
    <col min="15350" max="15350" width="24.140625" style="41" customWidth="1"/>
    <col min="15351" max="15352" width="0" style="41" hidden="1" customWidth="1"/>
    <col min="15353" max="15353" width="61.42578125" style="41" customWidth="1"/>
    <col min="15354" max="15354" width="62.140625" style="41" customWidth="1"/>
    <col min="15355" max="15358" width="0" style="41" hidden="1" customWidth="1"/>
    <col min="15359" max="15603" width="8.7109375" style="41"/>
    <col min="15604" max="15604" width="5.5703125" style="41" customWidth="1"/>
    <col min="15605" max="15605" width="58" style="41" customWidth="1"/>
    <col min="15606" max="15606" width="24.140625" style="41" customWidth="1"/>
    <col min="15607" max="15608" width="0" style="41" hidden="1" customWidth="1"/>
    <col min="15609" max="15609" width="61.42578125" style="41" customWidth="1"/>
    <col min="15610" max="15610" width="62.140625" style="41" customWidth="1"/>
    <col min="15611" max="15614" width="0" style="41" hidden="1" customWidth="1"/>
    <col min="15615" max="15859" width="8.7109375" style="41"/>
    <col min="15860" max="15860" width="5.5703125" style="41" customWidth="1"/>
    <col min="15861" max="15861" width="58" style="41" customWidth="1"/>
    <col min="15862" max="15862" width="24.140625" style="41" customWidth="1"/>
    <col min="15863" max="15864" width="0" style="41" hidden="1" customWidth="1"/>
    <col min="15865" max="15865" width="61.42578125" style="41" customWidth="1"/>
    <col min="15866" max="15866" width="62.140625" style="41" customWidth="1"/>
    <col min="15867" max="15870" width="0" style="41" hidden="1" customWidth="1"/>
    <col min="15871" max="16115" width="8.7109375" style="41"/>
    <col min="16116" max="16116" width="5.5703125" style="41" customWidth="1"/>
    <col min="16117" max="16117" width="58" style="41" customWidth="1"/>
    <col min="16118" max="16118" width="24.140625" style="41" customWidth="1"/>
    <col min="16119" max="16120" width="0" style="41" hidden="1" customWidth="1"/>
    <col min="16121" max="16121" width="61.42578125" style="41" customWidth="1"/>
    <col min="16122" max="16122" width="62.140625" style="41" customWidth="1"/>
    <col min="16123" max="16126" width="0" style="41" hidden="1" customWidth="1"/>
    <col min="16127" max="16370" width="8.7109375" style="41"/>
    <col min="16371" max="16384" width="8.85546875" style="41" customWidth="1"/>
  </cols>
  <sheetData>
    <row r="1" spans="2:6">
      <c r="C1" s="42" t="s">
        <v>123</v>
      </c>
    </row>
    <row r="2" spans="2:6">
      <c r="C2" s="44">
        <v>44317</v>
      </c>
    </row>
    <row r="3" spans="2:6">
      <c r="B3" s="45"/>
      <c r="C3" s="46" t="s">
        <v>124</v>
      </c>
    </row>
    <row r="4" spans="2:6" ht="24.95" customHeight="1" thickBot="1">
      <c r="B4" s="47" t="s">
        <v>125</v>
      </c>
      <c r="C4" s="48" t="s">
        <v>126</v>
      </c>
      <c r="D4" s="47" t="s">
        <v>127</v>
      </c>
      <c r="E4" s="49" t="s">
        <v>128</v>
      </c>
      <c r="F4" s="49" t="s">
        <v>129</v>
      </c>
    </row>
    <row r="5" spans="2:6" ht="39.950000000000003" customHeight="1">
      <c r="B5" s="50" t="s">
        <v>130</v>
      </c>
      <c r="C5" s="51">
        <f>'[17]DC  CNA  DC III'!J6</f>
        <v>19.000800000000002</v>
      </c>
      <c r="D5" s="612" t="s">
        <v>131</v>
      </c>
      <c r="E5" s="610" t="s">
        <v>132</v>
      </c>
      <c r="F5" s="610" t="s">
        <v>133</v>
      </c>
    </row>
    <row r="6" spans="2:6" ht="42.6" customHeight="1" thickBot="1">
      <c r="B6" s="52" t="s">
        <v>134</v>
      </c>
      <c r="C6" s="53">
        <f>C5*2080</f>
        <v>39521.664000000004</v>
      </c>
      <c r="D6" s="613"/>
      <c r="E6" s="611"/>
      <c r="F6" s="611"/>
    </row>
    <row r="7" spans="2:6">
      <c r="B7" s="50" t="s">
        <v>135</v>
      </c>
      <c r="C7" s="51">
        <f>'[17]DC  CNA  DC III'!J19</f>
        <v>24.241120000000002</v>
      </c>
      <c r="D7" s="54" t="s">
        <v>136</v>
      </c>
      <c r="E7" s="610" t="s">
        <v>137</v>
      </c>
      <c r="F7" s="610" t="s">
        <v>138</v>
      </c>
    </row>
    <row r="8" spans="2:6" ht="27" thickBot="1">
      <c r="B8" s="55" t="s">
        <v>139</v>
      </c>
      <c r="C8" s="56">
        <f>C7*2080</f>
        <v>50421.529600000002</v>
      </c>
      <c r="D8" s="41" t="s">
        <v>140</v>
      </c>
      <c r="E8" s="614"/>
      <c r="F8" s="614"/>
    </row>
    <row r="9" spans="2:6">
      <c r="B9" s="50" t="s">
        <v>141</v>
      </c>
      <c r="C9" s="51">
        <f>'[17]DC  CNA  DC III'!J10</f>
        <v>18.008399999999998</v>
      </c>
      <c r="D9" s="54"/>
      <c r="E9" s="610" t="s">
        <v>142</v>
      </c>
      <c r="F9" s="610" t="s">
        <v>143</v>
      </c>
    </row>
    <row r="10" spans="2:6" ht="27" thickBot="1">
      <c r="B10" s="52" t="s">
        <v>144</v>
      </c>
      <c r="C10" s="53">
        <f>C9*2080</f>
        <v>37457.471999999994</v>
      </c>
      <c r="D10" s="57"/>
      <c r="E10" s="611"/>
      <c r="F10" s="611"/>
    </row>
    <row r="11" spans="2:6">
      <c r="B11" s="50" t="s">
        <v>145</v>
      </c>
      <c r="C11" s="51">
        <f>'[17]Case Social Worker.Manager'!J4</f>
        <v>24.3888</v>
      </c>
      <c r="D11" s="54" t="s">
        <v>146</v>
      </c>
      <c r="E11" s="610" t="s">
        <v>147</v>
      </c>
      <c r="F11" s="610" t="s">
        <v>148</v>
      </c>
    </row>
    <row r="12" spans="2:6" ht="27" thickBot="1">
      <c r="B12" s="55" t="s">
        <v>149</v>
      </c>
      <c r="C12" s="56">
        <f>C11*2080</f>
        <v>50728.703999999998</v>
      </c>
      <c r="D12" s="41" t="s">
        <v>150</v>
      </c>
      <c r="E12" s="614"/>
      <c r="F12" s="614"/>
    </row>
    <row r="13" spans="2:6" ht="78.75">
      <c r="B13" s="58" t="s">
        <v>151</v>
      </c>
      <c r="C13" s="51">
        <f>'[17]Case Social Worker.Manager'!J11</f>
        <v>30.569499999999998</v>
      </c>
      <c r="D13" s="54" t="s">
        <v>152</v>
      </c>
      <c r="E13" s="610" t="s">
        <v>153</v>
      </c>
      <c r="F13" s="610" t="s">
        <v>154</v>
      </c>
    </row>
    <row r="14" spans="2:6" ht="53.25" thickBot="1">
      <c r="B14" s="59" t="s">
        <v>155</v>
      </c>
      <c r="C14" s="53">
        <f>C13*2080</f>
        <v>63584.56</v>
      </c>
      <c r="D14" s="57" t="s">
        <v>156</v>
      </c>
      <c r="E14" s="611"/>
      <c r="F14" s="611"/>
    </row>
    <row r="15" spans="2:6">
      <c r="B15" s="50" t="s">
        <v>157</v>
      </c>
      <c r="C15" s="51">
        <f>[17]Nursing!J2</f>
        <v>29.084</v>
      </c>
      <c r="D15" s="54"/>
      <c r="E15" s="610" t="s">
        <v>158</v>
      </c>
      <c r="F15" s="610" t="s">
        <v>159</v>
      </c>
    </row>
    <row r="16" spans="2:6" ht="27" thickBot="1">
      <c r="B16" s="52" t="s">
        <v>160</v>
      </c>
      <c r="C16" s="53">
        <f>C15*2080</f>
        <v>60494.720000000001</v>
      </c>
      <c r="D16" s="57" t="s">
        <v>161</v>
      </c>
      <c r="E16" s="611"/>
      <c r="F16" s="611"/>
    </row>
    <row r="17" spans="2:6">
      <c r="B17" s="50" t="s">
        <v>162</v>
      </c>
      <c r="C17" s="51">
        <f>[17]Clinical!J6</f>
        <v>35.178200000000004</v>
      </c>
      <c r="D17" s="54" t="s">
        <v>163</v>
      </c>
      <c r="E17" s="610" t="s">
        <v>164</v>
      </c>
      <c r="F17" s="610" t="s">
        <v>165</v>
      </c>
    </row>
    <row r="18" spans="2:6" ht="27" thickBot="1">
      <c r="B18" s="52" t="s">
        <v>166</v>
      </c>
      <c r="C18" s="53">
        <f>C17*2080</f>
        <v>73170.656000000003</v>
      </c>
      <c r="D18" s="57"/>
      <c r="E18" s="611"/>
      <c r="F18" s="611"/>
    </row>
    <row r="19" spans="2:6">
      <c r="B19" s="50" t="s">
        <v>167</v>
      </c>
      <c r="C19" s="60">
        <f>[17]Therapies!M2</f>
        <v>30.937200000000001</v>
      </c>
      <c r="D19" s="54"/>
      <c r="E19" s="610" t="s">
        <v>168</v>
      </c>
      <c r="F19" s="610" t="s">
        <v>169</v>
      </c>
    </row>
    <row r="20" spans="2:6" ht="27" thickBot="1">
      <c r="B20" s="52" t="s">
        <v>170</v>
      </c>
      <c r="C20" s="53">
        <f>C19*2080</f>
        <v>64349.376000000004</v>
      </c>
      <c r="D20" s="57"/>
      <c r="E20" s="611"/>
      <c r="F20" s="611"/>
    </row>
    <row r="21" spans="2:6">
      <c r="B21" s="55" t="s">
        <v>171</v>
      </c>
      <c r="C21" s="61">
        <f>[17]Management!J2</f>
        <v>35.084000000000003</v>
      </c>
      <c r="D21" s="41" t="s">
        <v>172</v>
      </c>
      <c r="E21" s="610" t="s">
        <v>173</v>
      </c>
      <c r="F21" s="615" t="s">
        <v>174</v>
      </c>
    </row>
    <row r="22" spans="2:6" ht="27" thickBot="1">
      <c r="B22" s="52" t="s">
        <v>175</v>
      </c>
      <c r="C22" s="53">
        <f>C21*2080</f>
        <v>72974.720000000001</v>
      </c>
      <c r="D22" s="57" t="s">
        <v>176</v>
      </c>
      <c r="E22" s="611"/>
      <c r="F22" s="616"/>
    </row>
    <row r="23" spans="2:6">
      <c r="B23" s="55" t="s">
        <v>177</v>
      </c>
      <c r="C23" s="61">
        <f>[17]Therapies!M8</f>
        <v>38.650100000000002</v>
      </c>
      <c r="D23" s="41" t="s">
        <v>178</v>
      </c>
      <c r="E23" s="610" t="s">
        <v>153</v>
      </c>
      <c r="F23" s="610" t="s">
        <v>179</v>
      </c>
    </row>
    <row r="24" spans="2:6" ht="27" thickBot="1">
      <c r="B24" s="52" t="s">
        <v>180</v>
      </c>
      <c r="C24" s="53">
        <f>C23*2080</f>
        <v>80392.207999999999</v>
      </c>
      <c r="D24" s="57"/>
      <c r="E24" s="611"/>
      <c r="F24" s="611"/>
    </row>
    <row r="25" spans="2:6">
      <c r="B25" s="55" t="s">
        <v>181</v>
      </c>
      <c r="C25" s="61">
        <f>[17]Therapies!M14</f>
        <v>40.563600000000001</v>
      </c>
      <c r="D25" s="41" t="s">
        <v>182</v>
      </c>
      <c r="E25" s="610" t="s">
        <v>153</v>
      </c>
      <c r="F25" s="610" t="s">
        <v>183</v>
      </c>
    </row>
    <row r="26" spans="2:6" ht="27" thickBot="1">
      <c r="B26" s="52" t="s">
        <v>184</v>
      </c>
      <c r="C26" s="56">
        <f>C25*2080</f>
        <v>84372.288</v>
      </c>
      <c r="E26" s="611"/>
      <c r="F26" s="611"/>
    </row>
    <row r="27" spans="2:6">
      <c r="B27" s="50" t="s">
        <v>185</v>
      </c>
      <c r="C27" s="51">
        <f>[17]Clinical!J12</f>
        <v>43.1312</v>
      </c>
      <c r="D27" s="617" t="s">
        <v>186</v>
      </c>
      <c r="E27" s="610" t="s">
        <v>187</v>
      </c>
      <c r="F27" s="610" t="s">
        <v>188</v>
      </c>
    </row>
    <row r="28" spans="2:6" ht="34.5" customHeight="1" thickBot="1">
      <c r="B28" s="52" t="s">
        <v>189</v>
      </c>
      <c r="C28" s="53">
        <f>C27*2080</f>
        <v>89712.895999999993</v>
      </c>
      <c r="D28" s="618"/>
      <c r="E28" s="611"/>
      <c r="F28" s="611"/>
    </row>
    <row r="29" spans="2:6">
      <c r="B29" s="50" t="s">
        <v>190</v>
      </c>
      <c r="C29" s="51">
        <f>[17]Therapies!M18</f>
        <v>43.066240000000008</v>
      </c>
      <c r="D29" s="54"/>
      <c r="E29" s="610" t="s">
        <v>153</v>
      </c>
      <c r="F29" s="610" t="s">
        <v>191</v>
      </c>
    </row>
    <row r="30" spans="2:6" ht="27" thickBot="1">
      <c r="B30" s="52" t="s">
        <v>192</v>
      </c>
      <c r="C30" s="53">
        <f>C29*2080</f>
        <v>89577.779200000019</v>
      </c>
      <c r="D30" s="57"/>
      <c r="E30" s="611"/>
      <c r="F30" s="611"/>
    </row>
    <row r="31" spans="2:6">
      <c r="B31" s="50" t="s">
        <v>193</v>
      </c>
      <c r="C31" s="51">
        <f>[17]Nursing!J6</f>
        <v>47.109200000000001</v>
      </c>
      <c r="D31" s="54"/>
      <c r="E31" s="610" t="s">
        <v>194</v>
      </c>
      <c r="F31" s="610" t="s">
        <v>195</v>
      </c>
    </row>
    <row r="32" spans="2:6" ht="38.450000000000003" customHeight="1" thickBot="1">
      <c r="B32" s="52" t="s">
        <v>196</v>
      </c>
      <c r="C32" s="53">
        <f>C31*2080</f>
        <v>97987.135999999999</v>
      </c>
      <c r="D32" s="57"/>
      <c r="E32" s="611"/>
      <c r="F32" s="611"/>
    </row>
    <row r="33" spans="2:6">
      <c r="B33" s="50" t="s">
        <v>197</v>
      </c>
      <c r="C33" s="51">
        <f>[17]Nursing!J11</f>
        <v>62.008800000000001</v>
      </c>
      <c r="D33" s="54"/>
      <c r="E33" s="610" t="s">
        <v>198</v>
      </c>
      <c r="F33" s="610" t="s">
        <v>199</v>
      </c>
    </row>
    <row r="34" spans="2:6" ht="27" thickBot="1">
      <c r="B34" s="52" t="s">
        <v>200</v>
      </c>
      <c r="C34" s="53">
        <f>C33*2080</f>
        <v>128978.304</v>
      </c>
      <c r="D34" s="57"/>
      <c r="E34" s="611"/>
      <c r="F34" s="611"/>
    </row>
    <row r="36" spans="2:6" ht="78.75">
      <c r="B36" s="62" t="s">
        <v>201</v>
      </c>
      <c r="C36" s="56">
        <f>C6</f>
        <v>39521.664000000004</v>
      </c>
    </row>
    <row r="37" spans="2:6">
      <c r="C37" s="63"/>
    </row>
    <row r="38" spans="2:6">
      <c r="B38" s="64" t="s">
        <v>202</v>
      </c>
      <c r="C38" s="65">
        <f>23.39%+2%</f>
        <v>0.25390000000000001</v>
      </c>
      <c r="D38" s="41" t="s">
        <v>203</v>
      </c>
    </row>
    <row r="39" spans="2:6" ht="34.35" customHeight="1">
      <c r="B39" s="64"/>
      <c r="C39" s="63"/>
      <c r="D39" s="619" t="s">
        <v>204</v>
      </c>
      <c r="E39" s="619"/>
      <c r="F39" s="41"/>
    </row>
    <row r="40" spans="2:6">
      <c r="C40" s="63"/>
    </row>
    <row r="41" spans="2:6">
      <c r="B41" s="64" t="s">
        <v>205</v>
      </c>
      <c r="C41" s="66">
        <v>0.12</v>
      </c>
      <c r="D41" s="41" t="s">
        <v>206</v>
      </c>
    </row>
    <row r="42" spans="2:6">
      <c r="B42" s="64"/>
      <c r="C42" s="67"/>
    </row>
    <row r="43" spans="2:6">
      <c r="B43" s="620" t="s">
        <v>207</v>
      </c>
      <c r="C43" s="620"/>
      <c r="D43" s="620"/>
    </row>
    <row r="44" spans="2:6">
      <c r="B44" s="64" t="s">
        <v>208</v>
      </c>
      <c r="C44" s="56">
        <v>247150</v>
      </c>
      <c r="D44" s="41" t="s">
        <v>209</v>
      </c>
    </row>
    <row r="45" spans="2:6">
      <c r="B45" s="64" t="s">
        <v>210</v>
      </c>
      <c r="C45" s="56">
        <v>206010</v>
      </c>
      <c r="D45" s="41" t="s">
        <v>211</v>
      </c>
    </row>
    <row r="46" spans="2:6">
      <c r="B46" s="64" t="s">
        <v>212</v>
      </c>
      <c r="C46" s="56">
        <f>'[17]02021 53_PCT'!N34</f>
        <v>133902.08000000002</v>
      </c>
      <c r="D46" s="41" t="s">
        <v>213</v>
      </c>
    </row>
    <row r="47" spans="2:6">
      <c r="B47" s="64" t="s">
        <v>301</v>
      </c>
      <c r="C47" s="56">
        <v>77910</v>
      </c>
      <c r="D47" s="41" t="s">
        <v>332</v>
      </c>
    </row>
    <row r="49" spans="3:3">
      <c r="C49" s="68"/>
    </row>
    <row r="50" spans="3:3">
      <c r="C50" s="69"/>
    </row>
  </sheetData>
  <mergeCells count="34">
    <mergeCell ref="D39:E39"/>
    <mergeCell ref="B43:D43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E9:E10"/>
    <mergeCell ref="F9:F10"/>
    <mergeCell ref="D5:D6"/>
    <mergeCell ref="E5:E6"/>
    <mergeCell ref="F5:F6"/>
    <mergeCell ref="E7:E8"/>
    <mergeCell ref="F7:F8"/>
  </mergeCells>
  <pageMargins left="0.7" right="0.7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46D1-8C2F-4FBC-B0ED-F04BA5D922CD}">
  <sheetPr>
    <pageSetUpPr fitToPage="1"/>
  </sheetPr>
  <dimension ref="A1:N34"/>
  <sheetViews>
    <sheetView showGridLines="0" topLeftCell="G1" zoomScale="110" zoomScaleNormal="110" workbookViewId="0">
      <selection activeCell="M17" sqref="M17"/>
    </sheetView>
  </sheetViews>
  <sheetFormatPr defaultColWidth="9.140625" defaultRowHeight="12.75"/>
  <cols>
    <col min="1" max="1" width="3.42578125" style="70" hidden="1" customWidth="1"/>
    <col min="2" max="2" width="32.42578125" style="70" hidden="1" customWidth="1"/>
    <col min="3" max="3" width="14.7109375" style="70" hidden="1" customWidth="1"/>
    <col min="4" max="4" width="18.28515625" style="70" hidden="1" customWidth="1"/>
    <col min="5" max="5" width="14.42578125" style="70" hidden="1" customWidth="1"/>
    <col min="6" max="6" width="4.7109375" style="70" hidden="1" customWidth="1"/>
    <col min="7" max="7" width="32.42578125" style="70" customWidth="1"/>
    <col min="8" max="8" width="14.7109375" style="70" customWidth="1"/>
    <col min="9" max="9" width="17.42578125" style="70" customWidth="1"/>
    <col min="10" max="10" width="12.28515625" style="70" customWidth="1"/>
    <col min="11" max="11" width="4.7109375" style="70" customWidth="1"/>
    <col min="12" max="12" width="33.85546875" style="70" customWidth="1"/>
    <col min="13" max="13" width="11.85546875" style="70" customWidth="1"/>
    <col min="14" max="14" width="64.28515625" style="70" customWidth="1"/>
    <col min="15" max="16384" width="9.140625" style="70"/>
  </cols>
  <sheetData>
    <row r="1" spans="2:14" ht="13.5" thickBot="1">
      <c r="G1" s="71"/>
    </row>
    <row r="2" spans="2:14" ht="13.5" thickBot="1">
      <c r="B2" s="622" t="s">
        <v>214</v>
      </c>
      <c r="C2" s="623"/>
      <c r="D2" s="623"/>
      <c r="E2" s="624"/>
      <c r="G2" s="625" t="s">
        <v>333</v>
      </c>
      <c r="H2" s="626"/>
      <c r="I2" s="626"/>
      <c r="J2" s="627"/>
      <c r="L2" s="628" t="s">
        <v>336</v>
      </c>
      <c r="M2" s="629"/>
      <c r="N2" s="630"/>
    </row>
    <row r="3" spans="2:14" ht="13.5" thickBot="1">
      <c r="B3" s="72" t="s">
        <v>215</v>
      </c>
      <c r="C3" s="73">
        <v>50</v>
      </c>
      <c r="D3" s="74" t="s">
        <v>216</v>
      </c>
      <c r="E3" s="75">
        <f>C3*365</f>
        <v>18250</v>
      </c>
      <c r="G3" s="76" t="s">
        <v>215</v>
      </c>
      <c r="H3" s="77">
        <v>50</v>
      </c>
      <c r="I3" s="78" t="s">
        <v>216</v>
      </c>
      <c r="J3" s="79">
        <f>H3*365</f>
        <v>18250</v>
      </c>
      <c r="L3" s="631" t="s">
        <v>232</v>
      </c>
      <c r="M3" s="632"/>
      <c r="N3" s="80" t="s">
        <v>217</v>
      </c>
    </row>
    <row r="4" spans="2:14">
      <c r="B4" s="81" t="s">
        <v>125</v>
      </c>
      <c r="C4" s="82" t="s">
        <v>218</v>
      </c>
      <c r="D4" s="83" t="s">
        <v>219</v>
      </c>
      <c r="E4" s="84" t="s">
        <v>220</v>
      </c>
      <c r="F4" s="85"/>
      <c r="G4" s="86" t="s">
        <v>125</v>
      </c>
      <c r="H4" s="87"/>
      <c r="I4" s="88" t="s">
        <v>219</v>
      </c>
      <c r="J4" s="89" t="s">
        <v>220</v>
      </c>
      <c r="K4" s="85"/>
      <c r="L4" s="103" t="s">
        <v>221</v>
      </c>
      <c r="M4" s="112">
        <v>1</v>
      </c>
      <c r="N4" s="113" t="s">
        <v>234</v>
      </c>
    </row>
    <row r="5" spans="2:14">
      <c r="B5" s="92" t="s">
        <v>222</v>
      </c>
      <c r="C5" s="93"/>
      <c r="D5" s="94"/>
      <c r="E5" s="95"/>
      <c r="G5" s="552" t="s">
        <v>222</v>
      </c>
      <c r="H5" s="96"/>
      <c r="I5" s="97"/>
      <c r="J5" s="550">
        <v>76819</v>
      </c>
      <c r="L5" s="103" t="s">
        <v>223</v>
      </c>
      <c r="M5" s="112">
        <v>0.05</v>
      </c>
      <c r="N5" s="113" t="s">
        <v>234</v>
      </c>
    </row>
    <row r="6" spans="2:14">
      <c r="B6" s="98" t="s">
        <v>221</v>
      </c>
      <c r="C6" s="99" t="e">
        <f>#REF!</f>
        <v>#REF!</v>
      </c>
      <c r="D6" s="100">
        <f>M4</f>
        <v>1</v>
      </c>
      <c r="E6" s="101" t="e">
        <f>D6*C6</f>
        <v>#REF!</v>
      </c>
      <c r="F6" s="102"/>
      <c r="G6" s="553" t="s">
        <v>320</v>
      </c>
      <c r="H6" s="104"/>
      <c r="I6" s="105"/>
      <c r="J6" s="106">
        <v>431589</v>
      </c>
      <c r="K6" s="102"/>
      <c r="L6" s="103" t="s">
        <v>208</v>
      </c>
      <c r="M6" s="112">
        <v>0.4</v>
      </c>
      <c r="N6" s="113" t="s">
        <v>234</v>
      </c>
    </row>
    <row r="7" spans="2:14">
      <c r="B7" s="98" t="s">
        <v>223</v>
      </c>
      <c r="C7" s="99" t="e">
        <f>#REF!</f>
        <v>#REF!</v>
      </c>
      <c r="D7" s="100">
        <f>M5</f>
        <v>0.05</v>
      </c>
      <c r="E7" s="101" t="e">
        <f>D7*C7</f>
        <v>#REF!</v>
      </c>
      <c r="F7" s="102"/>
      <c r="G7" s="554" t="s">
        <v>321</v>
      </c>
      <c r="H7" s="232"/>
      <c r="I7" s="233"/>
      <c r="J7" s="551">
        <v>179886</v>
      </c>
      <c r="K7" s="102"/>
      <c r="L7" s="103" t="s">
        <v>224</v>
      </c>
      <c r="M7" s="112">
        <v>2</v>
      </c>
      <c r="N7" s="113" t="s">
        <v>234</v>
      </c>
    </row>
    <row r="8" spans="2:14">
      <c r="B8" s="107" t="s">
        <v>225</v>
      </c>
      <c r="C8" s="108"/>
      <c r="D8" s="100"/>
      <c r="E8" s="101"/>
      <c r="F8" s="102"/>
      <c r="G8" s="239" t="s">
        <v>236</v>
      </c>
      <c r="H8" s="555"/>
      <c r="I8" s="556">
        <v>9.4499999999999993</v>
      </c>
      <c r="J8" s="557">
        <v>688295</v>
      </c>
      <c r="K8" s="102"/>
      <c r="L8" s="103" t="s">
        <v>323</v>
      </c>
      <c r="M8" s="112">
        <v>1</v>
      </c>
      <c r="N8" s="113" t="s">
        <v>234</v>
      </c>
    </row>
    <row r="9" spans="2:14">
      <c r="B9" s="98" t="s">
        <v>208</v>
      </c>
      <c r="C9" s="99" t="e">
        <f>#REF!</f>
        <v>#REF!</v>
      </c>
      <c r="D9" s="100">
        <f>M6</f>
        <v>0.4</v>
      </c>
      <c r="E9" s="101" t="e">
        <f>D9*C9</f>
        <v>#REF!</v>
      </c>
      <c r="F9" s="102"/>
      <c r="G9" s="132" t="s">
        <v>322</v>
      </c>
      <c r="H9" s="201"/>
      <c r="I9" s="558">
        <f>M19</f>
        <v>2.7811565914169036E-2</v>
      </c>
      <c r="J9" s="106">
        <f>J8*I9</f>
        <v>19142.561760892975</v>
      </c>
      <c r="K9" s="102"/>
      <c r="L9" s="103" t="s">
        <v>229</v>
      </c>
      <c r="M9" s="112">
        <v>1</v>
      </c>
      <c r="N9" s="113" t="s">
        <v>234</v>
      </c>
    </row>
    <row r="10" spans="2:14">
      <c r="B10" s="98" t="s">
        <v>224</v>
      </c>
      <c r="C10" s="99" t="e">
        <f>#REF!</f>
        <v>#REF!</v>
      </c>
      <c r="D10" s="100">
        <f t="shared" ref="D10:D11" si="0">M7</f>
        <v>2</v>
      </c>
      <c r="E10" s="101" t="e">
        <f>D10*C10</f>
        <v>#REF!</v>
      </c>
      <c r="F10" s="102"/>
      <c r="G10" s="132" t="s">
        <v>237</v>
      </c>
      <c r="I10" s="133">
        <f>M14</f>
        <v>0.25390000000000001</v>
      </c>
      <c r="J10" s="134">
        <f>(J8+J9)*I10</f>
        <v>179618.39693109074</v>
      </c>
      <c r="K10" s="102"/>
      <c r="L10" s="103" t="s">
        <v>228</v>
      </c>
      <c r="M10" s="112">
        <v>1</v>
      </c>
      <c r="N10" s="113" t="s">
        <v>234</v>
      </c>
    </row>
    <row r="11" spans="2:14">
      <c r="B11" s="98" t="s">
        <v>227</v>
      </c>
      <c r="C11" s="99" t="e">
        <f>#REF!</f>
        <v>#REF!</v>
      </c>
      <c r="D11" s="100">
        <f t="shared" si="0"/>
        <v>1</v>
      </c>
      <c r="E11" s="109" t="e">
        <f>D11*C11</f>
        <v>#REF!</v>
      </c>
      <c r="F11" s="110"/>
      <c r="G11" s="239" t="s">
        <v>238</v>
      </c>
      <c r="H11" s="136"/>
      <c r="I11" s="136"/>
      <c r="J11" s="248">
        <f>SUM(J8:J10)</f>
        <v>887055.95869198372</v>
      </c>
      <c r="K11" s="110"/>
      <c r="L11" s="103" t="s">
        <v>226</v>
      </c>
      <c r="M11" s="112">
        <v>2</v>
      </c>
      <c r="N11" s="113" t="s">
        <v>234</v>
      </c>
    </row>
    <row r="12" spans="2:14">
      <c r="B12" s="107" t="s">
        <v>228</v>
      </c>
      <c r="C12" s="108"/>
      <c r="D12" s="100"/>
      <c r="E12" s="101"/>
      <c r="F12" s="102"/>
      <c r="G12" s="132"/>
      <c r="I12" s="97" t="s">
        <v>239</v>
      </c>
      <c r="J12" s="134"/>
      <c r="K12" s="102"/>
      <c r="L12" s="138" t="s">
        <v>230</v>
      </c>
      <c r="M12" s="139">
        <v>1</v>
      </c>
      <c r="N12" s="140" t="s">
        <v>234</v>
      </c>
    </row>
    <row r="13" spans="2:14">
      <c r="B13" s="98" t="s">
        <v>231</v>
      </c>
      <c r="C13" s="99" t="e">
        <f>#REF!</f>
        <v>#REF!</v>
      </c>
      <c r="D13" s="100">
        <f>M10</f>
        <v>1</v>
      </c>
      <c r="E13" s="101" t="e">
        <f>D13*C13</f>
        <v>#REF!</v>
      </c>
      <c r="F13" s="102"/>
      <c r="G13" s="132" t="str">
        <f>B24</f>
        <v>Occupancy (per FTE)</v>
      </c>
      <c r="I13" s="144">
        <f>D24</f>
        <v>9345</v>
      </c>
      <c r="J13" s="145">
        <f>I13*I8</f>
        <v>88310.25</v>
      </c>
      <c r="K13" s="102"/>
      <c r="L13" s="633" t="s">
        <v>240</v>
      </c>
      <c r="M13" s="634"/>
      <c r="N13" s="141"/>
    </row>
    <row r="14" spans="2:14">
      <c r="B14" s="98" t="s">
        <v>233</v>
      </c>
      <c r="C14" s="99" t="e">
        <f>#REF!</f>
        <v>#REF!</v>
      </c>
      <c r="D14" s="100">
        <v>1.5</v>
      </c>
      <c r="E14" s="101" t="e">
        <f>D14*C14</f>
        <v>#REF!</v>
      </c>
      <c r="F14" s="102"/>
      <c r="G14" s="132" t="str">
        <f>B25</f>
        <v>Other Program Expenses (per FTE)</v>
      </c>
      <c r="I14" s="144">
        <f>D25</f>
        <v>3113</v>
      </c>
      <c r="J14" s="145">
        <f>I14*I8</f>
        <v>29417.85</v>
      </c>
      <c r="K14" s="102"/>
      <c r="L14" s="146" t="s">
        <v>241</v>
      </c>
      <c r="M14" s="147">
        <f>'M2021 BLS SALARY CHART (53_PCT)'!C38</f>
        <v>0.25390000000000001</v>
      </c>
      <c r="N14" s="148" t="s">
        <v>242</v>
      </c>
    </row>
    <row r="15" spans="2:14">
      <c r="B15" s="98" t="s">
        <v>230</v>
      </c>
      <c r="C15" s="99" t="e">
        <f>#REF!</f>
        <v>#REF!</v>
      </c>
      <c r="D15" s="100">
        <f t="shared" ref="D15" si="1">M12</f>
        <v>1</v>
      </c>
      <c r="E15" s="101" t="e">
        <f>D15*C15</f>
        <v>#REF!</v>
      </c>
      <c r="F15" s="102"/>
      <c r="G15" s="126" t="s">
        <v>245</v>
      </c>
      <c r="H15" s="136"/>
      <c r="I15" s="136"/>
      <c r="J15" s="137">
        <f>SUM(J11:J14)</f>
        <v>1004784.0586919837</v>
      </c>
      <c r="K15" s="102"/>
      <c r="L15" s="146" t="s">
        <v>243</v>
      </c>
      <c r="M15" s="149">
        <v>9345</v>
      </c>
      <c r="N15" s="150" t="s">
        <v>244</v>
      </c>
    </row>
    <row r="16" spans="2:14" ht="13.5" thickBot="1">
      <c r="B16" s="114" t="s">
        <v>235</v>
      </c>
      <c r="C16" s="115" t="e">
        <f>SUM(C6:C15)</f>
        <v>#REF!</v>
      </c>
      <c r="D16" s="116">
        <f>SUM(D6:D15)</f>
        <v>7.95</v>
      </c>
      <c r="E16" s="117" t="e">
        <f>SUM(E6:E15)</f>
        <v>#REF!</v>
      </c>
      <c r="F16" s="118"/>
      <c r="G16" s="154" t="s">
        <v>246</v>
      </c>
      <c r="H16" s="155"/>
      <c r="I16" s="156">
        <f>D28</f>
        <v>0.12</v>
      </c>
      <c r="J16" s="157">
        <f>I16*J15</f>
        <v>120574.08704303805</v>
      </c>
      <c r="K16" s="118"/>
      <c r="L16" s="151" t="s">
        <v>328</v>
      </c>
      <c r="M16" s="149">
        <v>3113</v>
      </c>
      <c r="N16" s="150" t="s">
        <v>244</v>
      </c>
    </row>
    <row r="17" spans="2:14" ht="13.5" thickTop="1">
      <c r="B17" s="119"/>
      <c r="C17" s="94"/>
      <c r="D17" s="94"/>
      <c r="E17" s="101"/>
      <c r="F17" s="102"/>
      <c r="G17" s="160" t="s">
        <v>248</v>
      </c>
      <c r="H17" s="161"/>
      <c r="I17" s="162"/>
      <c r="J17" s="163">
        <f>J16+J15</f>
        <v>1125358.1457350217</v>
      </c>
      <c r="K17" s="102"/>
      <c r="L17" s="158" t="s">
        <v>247</v>
      </c>
      <c r="M17" s="159">
        <f>'[18]M2021 BLS  SALARY CHART'!D41</f>
        <v>0.12</v>
      </c>
      <c r="N17" s="91" t="s">
        <v>206</v>
      </c>
    </row>
    <row r="18" spans="2:14" ht="13.5" thickBot="1">
      <c r="B18" s="121" t="s">
        <v>236</v>
      </c>
      <c r="C18" s="122"/>
      <c r="D18" s="123">
        <f>D16</f>
        <v>7.95</v>
      </c>
      <c r="E18" s="124" t="e">
        <f>E16</f>
        <v>#REF!</v>
      </c>
      <c r="F18" s="125"/>
      <c r="G18" s="168" t="s">
        <v>324</v>
      </c>
      <c r="I18" s="169">
        <f>M19</f>
        <v>2.7811565914169036E-2</v>
      </c>
      <c r="J18" s="134">
        <f>(J13+J14)*I18</f>
        <v>3274.2028130998838</v>
      </c>
      <c r="K18" s="125"/>
      <c r="L18" s="170" t="s">
        <v>250</v>
      </c>
      <c r="M18" s="171">
        <v>0.98</v>
      </c>
      <c r="N18" s="172" t="s">
        <v>234</v>
      </c>
    </row>
    <row r="19" spans="2:14" ht="13.5" thickBot="1">
      <c r="B19" s="119"/>
      <c r="C19" s="127"/>
      <c r="D19" s="94"/>
      <c r="E19" s="128"/>
      <c r="G19" s="174" t="s">
        <v>252</v>
      </c>
      <c r="H19" s="96"/>
      <c r="I19" s="175"/>
      <c r="J19" s="560">
        <f>SUM(J17:J18)</f>
        <v>1128632.3485481215</v>
      </c>
      <c r="L19" s="183" t="s">
        <v>255</v>
      </c>
      <c r="M19" s="177">
        <f>'CAF FALL 2022'!CK26</f>
        <v>2.7811565914169036E-2</v>
      </c>
      <c r="N19" s="178" t="s">
        <v>256</v>
      </c>
    </row>
    <row r="20" spans="2:14" ht="13.5" thickBot="1">
      <c r="B20" s="119" t="s">
        <v>237</v>
      </c>
      <c r="C20" s="127"/>
      <c r="D20" s="129">
        <v>0.21709999999999999</v>
      </c>
      <c r="E20" s="130" t="e">
        <f>D20*E16</f>
        <v>#REF!</v>
      </c>
      <c r="F20" s="131"/>
      <c r="G20" s="179" t="s">
        <v>254</v>
      </c>
      <c r="H20" s="180"/>
      <c r="I20" s="181"/>
      <c r="J20" s="182">
        <f>J19/J3</f>
        <v>61.842868413595703</v>
      </c>
      <c r="K20" s="131"/>
      <c r="L20" s="197"/>
      <c r="M20" s="198"/>
      <c r="N20" s="199"/>
    </row>
    <row r="21" spans="2:14" ht="13.5" thickBot="1">
      <c r="B21" s="119"/>
      <c r="C21" s="127"/>
      <c r="D21" s="127"/>
      <c r="E21" s="130"/>
      <c r="F21" s="131"/>
      <c r="G21" s="188" t="s">
        <v>257</v>
      </c>
      <c r="H21" s="189"/>
      <c r="I21" s="190">
        <f>D33</f>
        <v>0.98</v>
      </c>
      <c r="J21" s="559">
        <f>J20/I21</f>
        <v>63.104967768975207</v>
      </c>
      <c r="K21" s="131"/>
    </row>
    <row r="22" spans="2:14">
      <c r="B22" s="121" t="s">
        <v>238</v>
      </c>
      <c r="C22" s="122"/>
      <c r="D22" s="122"/>
      <c r="E22" s="135" t="e">
        <f>E18+E20</f>
        <v>#REF!</v>
      </c>
      <c r="F22" s="131"/>
      <c r="G22" s="195"/>
      <c r="H22" s="195"/>
      <c r="I22" s="195"/>
      <c r="J22" s="196"/>
      <c r="K22" s="131"/>
      <c r="L22" s="621"/>
      <c r="M22" s="621"/>
      <c r="N22" s="621"/>
    </row>
    <row r="23" spans="2:14">
      <c r="B23" s="119"/>
      <c r="C23" s="127"/>
      <c r="D23" s="94" t="s">
        <v>239</v>
      </c>
      <c r="E23" s="130"/>
      <c r="F23" s="131"/>
      <c r="J23" s="200"/>
      <c r="K23" s="131"/>
      <c r="L23" s="621"/>
      <c r="M23" s="621"/>
      <c r="N23" s="621"/>
    </row>
    <row r="24" spans="2:14">
      <c r="B24" s="119" t="str">
        <f>L15</f>
        <v>Occupancy (per FTE)</v>
      </c>
      <c r="C24" s="127"/>
      <c r="D24" s="142">
        <f>M15</f>
        <v>9345</v>
      </c>
      <c r="E24" s="143">
        <f>D24*D18</f>
        <v>74292.75</v>
      </c>
      <c r="F24" s="125"/>
      <c r="K24" s="561"/>
      <c r="L24" s="621"/>
      <c r="M24" s="621"/>
      <c r="N24" s="621"/>
    </row>
    <row r="25" spans="2:14">
      <c r="B25" s="119" t="str">
        <f>L16</f>
        <v>Other Program Expenses (per FTE)</v>
      </c>
      <c r="C25" s="127"/>
      <c r="D25" s="142">
        <f>M16</f>
        <v>3113</v>
      </c>
      <c r="E25" s="143">
        <f>D25*D18</f>
        <v>24748.350000000002</v>
      </c>
      <c r="F25" s="125"/>
      <c r="K25" s="561"/>
    </row>
    <row r="26" spans="2:14">
      <c r="B26" s="121" t="s">
        <v>245</v>
      </c>
      <c r="C26" s="122"/>
      <c r="D26" s="122"/>
      <c r="E26" s="135" t="e">
        <f>SUM(E22:E25)</f>
        <v>#REF!</v>
      </c>
      <c r="F26" s="131"/>
      <c r="K26" s="131"/>
    </row>
    <row r="27" spans="2:14">
      <c r="B27" s="152"/>
      <c r="C27" s="93"/>
      <c r="D27" s="93"/>
      <c r="E27" s="153"/>
      <c r="F27" s="131"/>
      <c r="K27" s="131"/>
    </row>
    <row r="28" spans="2:14">
      <c r="B28" s="119" t="s">
        <v>246</v>
      </c>
      <c r="C28" s="127"/>
      <c r="D28" s="129">
        <f>M17</f>
        <v>0.12</v>
      </c>
      <c r="E28" s="130" t="e">
        <f>D28*E26</f>
        <v>#REF!</v>
      </c>
      <c r="F28" s="131"/>
      <c r="K28" s="131"/>
    </row>
    <row r="29" spans="2:14" ht="15" customHeight="1">
      <c r="B29" s="164" t="s">
        <v>249</v>
      </c>
      <c r="C29" s="165"/>
      <c r="D29" s="166"/>
      <c r="E29" s="167" t="e">
        <f>E28+E26</f>
        <v>#REF!</v>
      </c>
      <c r="F29" s="131"/>
      <c r="K29" s="131"/>
    </row>
    <row r="30" spans="2:14">
      <c r="B30" s="173" t="s">
        <v>251</v>
      </c>
      <c r="C30" s="127"/>
      <c r="D30" s="129" t="e">
        <f>#REF!</f>
        <v>#REF!</v>
      </c>
      <c r="E30" s="143" t="e">
        <f>E29*D30</f>
        <v>#REF!</v>
      </c>
      <c r="F30" s="125"/>
      <c r="K30" s="125"/>
    </row>
    <row r="31" spans="2:14">
      <c r="B31" s="164" t="s">
        <v>253</v>
      </c>
      <c r="C31" s="165"/>
      <c r="D31" s="165"/>
      <c r="E31" s="167" t="e">
        <f>E30+E29</f>
        <v>#REF!</v>
      </c>
      <c r="F31" s="131"/>
      <c r="K31" s="131"/>
    </row>
    <row r="32" spans="2:14" ht="13.5" thickBot="1">
      <c r="B32" s="184" t="s">
        <v>254</v>
      </c>
      <c r="C32" s="185"/>
      <c r="D32" s="186"/>
      <c r="E32" s="187" t="e">
        <f>E31/E3</f>
        <v>#REF!</v>
      </c>
    </row>
    <row r="33" spans="2:11" ht="13.5" thickBot="1">
      <c r="B33" s="191" t="s">
        <v>257</v>
      </c>
      <c r="C33" s="192"/>
      <c r="D33" s="193">
        <f>M18</f>
        <v>0.98</v>
      </c>
      <c r="E33" s="194" t="e">
        <f>E32/D33</f>
        <v>#REF!</v>
      </c>
      <c r="F33" s="97"/>
      <c r="K33" s="97"/>
    </row>
    <row r="34" spans="2:11">
      <c r="F34" s="195"/>
      <c r="K34" s="195"/>
    </row>
  </sheetData>
  <mergeCells count="6">
    <mergeCell ref="L22:N24"/>
    <mergeCell ref="B2:E2"/>
    <mergeCell ref="G2:J2"/>
    <mergeCell ref="L2:N2"/>
    <mergeCell ref="L3:M3"/>
    <mergeCell ref="L13:M13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30F6-0110-4E93-9552-447A6AE7DAE5}">
  <sheetPr>
    <pageSetUpPr fitToPage="1"/>
  </sheetPr>
  <dimension ref="A1:V36"/>
  <sheetViews>
    <sheetView showGridLines="0" topLeftCell="G1" zoomScale="130" zoomScaleNormal="130" workbookViewId="0">
      <selection activeCell="L25" sqref="L25"/>
    </sheetView>
  </sheetViews>
  <sheetFormatPr defaultColWidth="8.85546875" defaultRowHeight="12.75"/>
  <cols>
    <col min="1" max="1" width="4.42578125" style="70" hidden="1" customWidth="1"/>
    <col min="2" max="2" width="35.42578125" style="70" hidden="1" customWidth="1"/>
    <col min="3" max="3" width="14.28515625" style="70" hidden="1" customWidth="1"/>
    <col min="4" max="4" width="18" style="70" hidden="1" customWidth="1"/>
    <col min="5" max="5" width="16.42578125" style="70" hidden="1" customWidth="1"/>
    <col min="6" max="6" width="2.28515625" style="70" hidden="1" customWidth="1"/>
    <col min="7" max="7" width="32.140625" style="70" customWidth="1"/>
    <col min="8" max="8" width="15.7109375" style="70" customWidth="1"/>
    <col min="9" max="9" width="15.28515625" style="70" customWidth="1"/>
    <col min="10" max="10" width="15.7109375" style="70" customWidth="1"/>
    <col min="11" max="11" width="4.42578125" style="70" customWidth="1"/>
    <col min="12" max="12" width="35.140625" style="70" customWidth="1"/>
    <col min="13" max="13" width="12.42578125" style="70" customWidth="1"/>
    <col min="14" max="14" width="30.28515625" style="70" customWidth="1"/>
    <col min="15" max="15" width="12.7109375" style="70" customWidth="1"/>
    <col min="16" max="19" width="8.85546875" style="70"/>
    <col min="20" max="20" width="35.42578125" style="70" customWidth="1"/>
    <col min="21" max="22" width="13.85546875" style="97" customWidth="1"/>
    <col min="23" max="16384" width="8.85546875" style="70"/>
  </cols>
  <sheetData>
    <row r="1" spans="2:15" ht="13.5" thickBot="1">
      <c r="G1" s="71"/>
    </row>
    <row r="2" spans="2:15" ht="13.5" thickBot="1">
      <c r="B2" s="636" t="s">
        <v>258</v>
      </c>
      <c r="C2" s="637"/>
      <c r="D2" s="637"/>
      <c r="E2" s="638"/>
      <c r="F2" s="201"/>
      <c r="G2" s="639" t="s">
        <v>334</v>
      </c>
      <c r="H2" s="640"/>
      <c r="I2" s="640"/>
      <c r="J2" s="641"/>
      <c r="K2" s="201"/>
      <c r="L2" s="642" t="s">
        <v>337</v>
      </c>
      <c r="M2" s="643"/>
      <c r="N2" s="644"/>
      <c r="O2" s="202"/>
    </row>
    <row r="3" spans="2:15" ht="13.5" thickBot="1">
      <c r="B3" s="203" t="s">
        <v>215</v>
      </c>
      <c r="C3" s="204">
        <v>80</v>
      </c>
      <c r="D3" s="205" t="s">
        <v>216</v>
      </c>
      <c r="E3" s="206">
        <f>C3*365</f>
        <v>29200</v>
      </c>
      <c r="G3" s="207" t="s">
        <v>215</v>
      </c>
      <c r="H3" s="208">
        <v>80</v>
      </c>
      <c r="I3" s="209" t="s">
        <v>216</v>
      </c>
      <c r="J3" s="210">
        <f>H3*365</f>
        <v>29200</v>
      </c>
      <c r="L3" s="645" t="s">
        <v>232</v>
      </c>
      <c r="M3" s="646"/>
      <c r="N3" s="587" t="s">
        <v>217</v>
      </c>
      <c r="O3" s="202"/>
    </row>
    <row r="4" spans="2:15">
      <c r="B4" s="211" t="s">
        <v>125</v>
      </c>
      <c r="C4" s="212" t="s">
        <v>218</v>
      </c>
      <c r="D4" s="213" t="s">
        <v>219</v>
      </c>
      <c r="E4" s="214" t="s">
        <v>220</v>
      </c>
      <c r="G4" s="215" t="s">
        <v>125</v>
      </c>
      <c r="H4" s="216"/>
      <c r="I4" s="217" t="s">
        <v>219</v>
      </c>
      <c r="J4" s="218" t="s">
        <v>220</v>
      </c>
      <c r="L4" s="226" t="s">
        <v>221</v>
      </c>
      <c r="M4" s="227">
        <v>1</v>
      </c>
      <c r="N4" s="91" t="s">
        <v>234</v>
      </c>
      <c r="O4" s="202"/>
    </row>
    <row r="5" spans="2:15">
      <c r="B5" s="219" t="s">
        <v>222</v>
      </c>
      <c r="C5" s="93"/>
      <c r="D5" s="94"/>
      <c r="E5" s="128"/>
      <c r="G5" s="552" t="s">
        <v>222</v>
      </c>
      <c r="H5" s="96"/>
      <c r="I5" s="97"/>
      <c r="J5" s="145">
        <v>76819</v>
      </c>
      <c r="L5" s="226" t="s">
        <v>223</v>
      </c>
      <c r="M5" s="227">
        <v>0.05</v>
      </c>
      <c r="N5" s="91" t="s">
        <v>234</v>
      </c>
      <c r="O5" s="202"/>
    </row>
    <row r="6" spans="2:15">
      <c r="B6" s="98" t="s">
        <v>221</v>
      </c>
      <c r="C6" s="99" t="e">
        <f>#REF!</f>
        <v>#REF!</v>
      </c>
      <c r="D6" s="100">
        <f>M4</f>
        <v>1</v>
      </c>
      <c r="E6" s="220" t="e">
        <f>D6*C6</f>
        <v>#REF!</v>
      </c>
      <c r="G6" s="562" t="s">
        <v>325</v>
      </c>
      <c r="H6" s="104"/>
      <c r="I6" s="105"/>
      <c r="J6" s="106">
        <v>725648</v>
      </c>
      <c r="L6" s="226" t="s">
        <v>208</v>
      </c>
      <c r="M6" s="227">
        <v>0.64</v>
      </c>
      <c r="N6" s="91" t="s">
        <v>234</v>
      </c>
      <c r="O6" s="202"/>
    </row>
    <row r="7" spans="2:15" ht="25.5">
      <c r="B7" s="98" t="s">
        <v>223</v>
      </c>
      <c r="C7" s="99" t="e">
        <f>#REF!</f>
        <v>#REF!</v>
      </c>
      <c r="D7" s="100">
        <f>M5</f>
        <v>0.05</v>
      </c>
      <c r="E7" s="220" t="e">
        <f>D7*C7</f>
        <v>#REF!</v>
      </c>
      <c r="G7" s="562" t="s">
        <v>326</v>
      </c>
      <c r="H7" s="104"/>
      <c r="I7" s="105"/>
      <c r="J7" s="106">
        <v>201599</v>
      </c>
      <c r="L7" s="226" t="s">
        <v>224</v>
      </c>
      <c r="M7" s="227">
        <v>3</v>
      </c>
      <c r="N7" s="91" t="s">
        <v>234</v>
      </c>
      <c r="O7" s="202"/>
    </row>
    <row r="8" spans="2:15">
      <c r="B8" s="222" t="s">
        <v>225</v>
      </c>
      <c r="C8" s="99"/>
      <c r="D8" s="100"/>
      <c r="E8" s="220"/>
      <c r="G8" s="239" t="s">
        <v>236</v>
      </c>
      <c r="H8" s="240"/>
      <c r="I8" s="241">
        <v>13.69</v>
      </c>
      <c r="J8" s="242">
        <f>SUM(J5:J7)</f>
        <v>1004066</v>
      </c>
      <c r="L8" s="226" t="s">
        <v>229</v>
      </c>
      <c r="M8" s="227">
        <v>2</v>
      </c>
      <c r="N8" s="91" t="s">
        <v>234</v>
      </c>
      <c r="O8" s="202"/>
    </row>
    <row r="9" spans="2:15">
      <c r="B9" s="98" t="s">
        <v>208</v>
      </c>
      <c r="C9" s="99" t="e">
        <f>#REF!</f>
        <v>#REF!</v>
      </c>
      <c r="D9" s="100">
        <f>M6</f>
        <v>0.64</v>
      </c>
      <c r="E9" s="220" t="e">
        <f>D9*C9</f>
        <v>#REF!</v>
      </c>
      <c r="G9" s="132" t="s">
        <v>322</v>
      </c>
      <c r="I9" s="245">
        <f>M20</f>
        <v>2.7811565914169036E-2</v>
      </c>
      <c r="J9" s="563">
        <f>J8*I9</f>
        <v>27924.647741176046</v>
      </c>
      <c r="L9" s="226" t="s">
        <v>259</v>
      </c>
      <c r="M9" s="227">
        <v>2</v>
      </c>
      <c r="N9" s="91" t="s">
        <v>234</v>
      </c>
      <c r="O9" s="223"/>
    </row>
    <row r="10" spans="2:15">
      <c r="B10" s="98" t="s">
        <v>224</v>
      </c>
      <c r="C10" s="99" t="e">
        <f>#REF!</f>
        <v>#REF!</v>
      </c>
      <c r="D10" s="100">
        <f t="shared" ref="D10:D11" si="0">M7</f>
        <v>3</v>
      </c>
      <c r="E10" s="220" t="e">
        <f>D10*C10</f>
        <v>#REF!</v>
      </c>
      <c r="G10" s="132" t="s">
        <v>237</v>
      </c>
      <c r="I10" s="244">
        <f>M15</f>
        <v>0.25390000000000001</v>
      </c>
      <c r="J10" s="134">
        <f>(J8+J9)*I10</f>
        <v>262022.42546148461</v>
      </c>
      <c r="L10" s="226" t="s">
        <v>260</v>
      </c>
      <c r="M10" s="227">
        <v>1</v>
      </c>
      <c r="N10" s="91" t="s">
        <v>234</v>
      </c>
      <c r="O10" s="223"/>
    </row>
    <row r="11" spans="2:15">
      <c r="B11" s="98" t="s">
        <v>227</v>
      </c>
      <c r="C11" s="99" t="e">
        <f>#REF!</f>
        <v>#REF!</v>
      </c>
      <c r="D11" s="100">
        <f t="shared" si="0"/>
        <v>2</v>
      </c>
      <c r="E11" s="224" t="e">
        <f>D11*C11</f>
        <v>#REF!</v>
      </c>
      <c r="G11" s="239" t="s">
        <v>238</v>
      </c>
      <c r="H11" s="136"/>
      <c r="I11" s="136"/>
      <c r="J11" s="248">
        <f>SUM(J8:J10)</f>
        <v>1294013.0732026608</v>
      </c>
      <c r="L11" s="132" t="s">
        <v>231</v>
      </c>
      <c r="M11" s="246">
        <v>1</v>
      </c>
      <c r="N11" s="91" t="s">
        <v>234</v>
      </c>
      <c r="O11" s="223"/>
    </row>
    <row r="12" spans="2:15">
      <c r="B12" s="222" t="s">
        <v>228</v>
      </c>
      <c r="C12" s="99"/>
      <c r="D12" s="100"/>
      <c r="E12" s="220"/>
      <c r="G12" s="250"/>
      <c r="I12" s="201" t="s">
        <v>239</v>
      </c>
      <c r="J12" s="251"/>
      <c r="L12" s="132" t="s">
        <v>226</v>
      </c>
      <c r="M12" s="246">
        <v>2</v>
      </c>
      <c r="N12" s="91" t="s">
        <v>234</v>
      </c>
      <c r="O12" s="223"/>
    </row>
    <row r="13" spans="2:15">
      <c r="B13" s="98" t="s">
        <v>260</v>
      </c>
      <c r="C13" s="99" t="e">
        <f>#REF!</f>
        <v>#REF!</v>
      </c>
      <c r="D13" s="100">
        <f>M10</f>
        <v>1</v>
      </c>
      <c r="E13" s="220" t="e">
        <f>D13*C13</f>
        <v>#REF!</v>
      </c>
      <c r="G13" s="132" t="str">
        <f>B25</f>
        <v>Occupancy (per FTE)</v>
      </c>
      <c r="I13" s="254">
        <f>D25</f>
        <v>9345</v>
      </c>
      <c r="J13" s="145">
        <f>I13*I8</f>
        <v>127933.04999999999</v>
      </c>
      <c r="L13" s="160" t="s">
        <v>230</v>
      </c>
      <c r="M13" s="252">
        <v>1</v>
      </c>
      <c r="N13" s="253" t="s">
        <v>234</v>
      </c>
      <c r="O13" s="223"/>
    </row>
    <row r="14" spans="2:15">
      <c r="B14" s="98" t="s">
        <v>231</v>
      </c>
      <c r="C14" s="99" t="e">
        <f>#REF!</f>
        <v>#REF!</v>
      </c>
      <c r="D14" s="100">
        <f t="shared" ref="D14:D16" si="1">M11</f>
        <v>1</v>
      </c>
      <c r="E14" s="220" t="e">
        <f>D14*C14</f>
        <v>#REF!</v>
      </c>
      <c r="G14" s="132" t="str">
        <f>B26</f>
        <v>Other Program Expenses (per FTE)</v>
      </c>
      <c r="I14" s="254">
        <f>D26</f>
        <v>3112.8100488713808</v>
      </c>
      <c r="J14" s="145">
        <f>I14*I8</f>
        <v>42614.369569049202</v>
      </c>
      <c r="L14" s="647" t="s">
        <v>240</v>
      </c>
      <c r="M14" s="648"/>
      <c r="N14" s="225"/>
      <c r="O14" s="223"/>
    </row>
    <row r="15" spans="2:15">
      <c r="B15" s="98" t="s">
        <v>233</v>
      </c>
      <c r="C15" s="99" t="e">
        <f>#REF!</f>
        <v>#REF!</v>
      </c>
      <c r="D15" s="100">
        <v>1.5</v>
      </c>
      <c r="E15" s="220" t="e">
        <f>D15*C15</f>
        <v>#REF!</v>
      </c>
      <c r="G15" s="239" t="s">
        <v>245</v>
      </c>
      <c r="H15" s="136"/>
      <c r="I15" s="136"/>
      <c r="J15" s="248">
        <f>SUM(J11:J14)</f>
        <v>1464560.49277171</v>
      </c>
      <c r="L15" s="146" t="s">
        <v>241</v>
      </c>
      <c r="M15" s="255">
        <f>'PACT 50 Rate Budget'!M14</f>
        <v>0.25390000000000001</v>
      </c>
      <c r="N15" s="91" t="s">
        <v>242</v>
      </c>
    </row>
    <row r="16" spans="2:15" ht="13.5" thickBot="1">
      <c r="B16" s="98" t="s">
        <v>230</v>
      </c>
      <c r="C16" s="99" t="e">
        <f>#REF!</f>
        <v>#REF!</v>
      </c>
      <c r="D16" s="100">
        <f t="shared" si="1"/>
        <v>1</v>
      </c>
      <c r="E16" s="220" t="e">
        <f>D16*C16</f>
        <v>#REF!</v>
      </c>
      <c r="G16" s="154" t="s">
        <v>246</v>
      </c>
      <c r="H16" s="155"/>
      <c r="I16" s="156">
        <f>D29</f>
        <v>0.12</v>
      </c>
      <c r="J16" s="157">
        <f>J15*I16</f>
        <v>175747.25913260519</v>
      </c>
      <c r="L16" s="146" t="s">
        <v>243</v>
      </c>
      <c r="M16" s="256">
        <f>'PACT 50 Rate Budget'!M15</f>
        <v>9345</v>
      </c>
      <c r="N16" s="91" t="str">
        <f>'PACT 50 Rate Budget'!N15</f>
        <v>FY21 UFR Data</v>
      </c>
    </row>
    <row r="17" spans="2:22" ht="13.5" thickTop="1">
      <c r="B17" s="228" t="s">
        <v>235</v>
      </c>
      <c r="C17" s="229"/>
      <c r="D17" s="230">
        <f>SUM(D6:D16)</f>
        <v>11.19</v>
      </c>
      <c r="E17" s="231" t="e">
        <f>SUM(E6:E16)</f>
        <v>#REF!</v>
      </c>
      <c r="G17" s="260" t="s">
        <v>248</v>
      </c>
      <c r="H17" s="161"/>
      <c r="I17" s="162"/>
      <c r="J17" s="261">
        <f>J16+J15</f>
        <v>1640307.7519043153</v>
      </c>
      <c r="L17" s="151" t="s">
        <v>328</v>
      </c>
      <c r="M17" s="149">
        <f>'[18]Other Expenses FY21 Pivot'!J6</f>
        <v>3112.8100488713808</v>
      </c>
      <c r="N17" s="91" t="str">
        <f>'PACT 50 Rate Budget'!N16</f>
        <v>FY21 UFR Data</v>
      </c>
    </row>
    <row r="18" spans="2:22" ht="13.5" thickBot="1">
      <c r="B18" s="119"/>
      <c r="C18" s="234"/>
      <c r="D18" s="234"/>
      <c r="E18" s="220"/>
      <c r="G18" s="262" t="s">
        <v>324</v>
      </c>
      <c r="H18" s="263"/>
      <c r="I18" s="264">
        <f>M20</f>
        <v>2.7811565914169036E-2</v>
      </c>
      <c r="J18" s="265">
        <f>(J13+J14)*I18</f>
        <v>4743.1908008360542</v>
      </c>
      <c r="L18" s="158" t="s">
        <v>247</v>
      </c>
      <c r="M18" s="159">
        <f>'[18]M2021 BLS  SALARY CHART'!D41</f>
        <v>0.12</v>
      </c>
      <c r="N18" s="91" t="str">
        <f>'PACT 50 Rate Budget'!N17</f>
        <v>C.257 Benchmark</v>
      </c>
    </row>
    <row r="19" spans="2:22" ht="13.5" thickBot="1">
      <c r="B19" s="235" t="s">
        <v>236</v>
      </c>
      <c r="C19" s="236"/>
      <c r="D19" s="237">
        <f>D17</f>
        <v>11.19</v>
      </c>
      <c r="E19" s="238" t="e">
        <f>E17</f>
        <v>#REF!</v>
      </c>
      <c r="G19" s="160" t="s">
        <v>252</v>
      </c>
      <c r="H19" s="161"/>
      <c r="I19" s="161"/>
      <c r="J19" s="261">
        <f>J18+J17</f>
        <v>1645050.9427051514</v>
      </c>
      <c r="L19" s="170" t="s">
        <v>250</v>
      </c>
      <c r="M19" s="171">
        <v>0.98</v>
      </c>
      <c r="N19" s="172" t="s">
        <v>234</v>
      </c>
    </row>
    <row r="20" spans="2:22" ht="13.5" thickBot="1">
      <c r="B20" s="119"/>
      <c r="C20" s="127"/>
      <c r="D20" s="127"/>
      <c r="E20" s="128"/>
      <c r="G20" s="70" t="s">
        <v>254</v>
      </c>
      <c r="H20" s="263"/>
      <c r="I20" s="264"/>
      <c r="J20" s="586">
        <f>J19/J3-0.01</f>
        <v>56.327361051546283</v>
      </c>
      <c r="L20" s="267" t="str">
        <f>'PACT 50 Rate Budget'!L19</f>
        <v xml:space="preserve">CAF FY24  </v>
      </c>
      <c r="M20" s="177">
        <f>'PACT 50 Rate Budget'!M19</f>
        <v>2.7811565914169036E-2</v>
      </c>
      <c r="N20" s="178" t="str">
        <f>'PACT 50 Rate Budget'!N19</f>
        <v>Prospective Period FY24 &amp; FY25</v>
      </c>
    </row>
    <row r="21" spans="2:22" ht="18" customHeight="1" thickBot="1">
      <c r="B21" s="119" t="s">
        <v>237</v>
      </c>
      <c r="C21" s="127"/>
      <c r="D21" s="129">
        <v>0.21709999999999999</v>
      </c>
      <c r="E21" s="243" t="e">
        <f>D21*E17</f>
        <v>#REF!</v>
      </c>
      <c r="G21" s="269" t="s">
        <v>257</v>
      </c>
      <c r="H21" s="270">
        <f>M19</f>
        <v>0.98</v>
      </c>
      <c r="I21" s="271"/>
      <c r="J21" s="585">
        <f>J20/H21</f>
        <v>57.476899032190083</v>
      </c>
      <c r="L21" s="584"/>
      <c r="M21" s="565"/>
      <c r="N21" s="584"/>
      <c r="U21" s="70"/>
      <c r="V21" s="70"/>
    </row>
    <row r="22" spans="2:22">
      <c r="B22" s="119"/>
      <c r="C22" s="127"/>
      <c r="D22" s="127"/>
      <c r="E22" s="130"/>
      <c r="H22" s="197"/>
      <c r="I22" s="198"/>
      <c r="J22" s="583"/>
      <c r="L22" s="197"/>
      <c r="M22" s="198"/>
      <c r="N22" s="199"/>
      <c r="U22" s="70"/>
      <c r="V22" s="70"/>
    </row>
    <row r="23" spans="2:22">
      <c r="B23" s="257" t="s">
        <v>238</v>
      </c>
      <c r="C23" s="93"/>
      <c r="D23" s="93"/>
      <c r="E23" s="564" t="e">
        <f>E19+E21</f>
        <v>#REF!</v>
      </c>
      <c r="H23" s="197"/>
      <c r="I23" s="198"/>
      <c r="J23" s="568"/>
      <c r="U23" s="70"/>
      <c r="V23" s="70"/>
    </row>
    <row r="24" spans="2:22">
      <c r="B24" s="566"/>
      <c r="C24" s="127"/>
      <c r="D24" s="234" t="s">
        <v>239</v>
      </c>
      <c r="E24" s="567"/>
      <c r="U24" s="70"/>
      <c r="V24" s="70"/>
    </row>
    <row r="25" spans="2:22">
      <c r="B25" s="127" t="str">
        <f>L16</f>
        <v>Occupancy (per FTE)</v>
      </c>
      <c r="C25" s="127"/>
      <c r="D25" s="569">
        <f>M16</f>
        <v>9345</v>
      </c>
      <c r="E25" s="570">
        <f>D25*D19</f>
        <v>104570.54999999999</v>
      </c>
      <c r="H25" s="97"/>
      <c r="I25" s="97"/>
      <c r="U25" s="70"/>
      <c r="V25" s="70"/>
    </row>
    <row r="26" spans="2:22">
      <c r="B26" s="127" t="str">
        <f>L17</f>
        <v>Other Program Expenses (per FTE)</v>
      </c>
      <c r="C26" s="127"/>
      <c r="D26" s="571">
        <f>M17</f>
        <v>3112.8100488713808</v>
      </c>
      <c r="E26" s="570">
        <f>D26*D19</f>
        <v>34832.344446870753</v>
      </c>
      <c r="G26" s="572"/>
      <c r="H26" s="272"/>
      <c r="I26" s="273"/>
      <c r="L26" s="635"/>
      <c r="M26" s="635"/>
      <c r="N26" s="635"/>
      <c r="U26" s="70"/>
      <c r="V26" s="70"/>
    </row>
    <row r="27" spans="2:22">
      <c r="B27" s="566" t="s">
        <v>245</v>
      </c>
      <c r="C27" s="127"/>
      <c r="D27" s="127"/>
      <c r="E27" s="567" t="e">
        <f>SUM(E23:E26)</f>
        <v>#REF!</v>
      </c>
      <c r="G27" s="572"/>
      <c r="H27" s="272"/>
      <c r="I27" s="273"/>
      <c r="L27" s="635"/>
      <c r="M27" s="635"/>
      <c r="N27" s="635"/>
      <c r="U27" s="70"/>
      <c r="V27" s="70"/>
    </row>
    <row r="28" spans="2:22">
      <c r="B28" s="566"/>
      <c r="C28" s="127"/>
      <c r="D28" s="127"/>
      <c r="E28" s="573"/>
      <c r="G28" s="574"/>
      <c r="H28" s="272"/>
      <c r="I28" s="273"/>
      <c r="L28" s="635"/>
      <c r="M28" s="635"/>
      <c r="N28" s="635"/>
      <c r="U28" s="70"/>
      <c r="V28" s="70"/>
    </row>
    <row r="29" spans="2:22">
      <c r="B29" s="127" t="s">
        <v>246</v>
      </c>
      <c r="C29" s="127"/>
      <c r="D29" s="129">
        <f>M18</f>
        <v>0.12</v>
      </c>
      <c r="E29" s="573" t="e">
        <f>D29*E27</f>
        <v>#REF!</v>
      </c>
      <c r="G29" s="572"/>
      <c r="H29" s="272"/>
      <c r="I29" s="273"/>
      <c r="L29" s="274"/>
      <c r="U29" s="70"/>
      <c r="V29" s="70"/>
    </row>
    <row r="30" spans="2:22">
      <c r="B30" s="566" t="s">
        <v>249</v>
      </c>
      <c r="C30" s="127"/>
      <c r="D30" s="129"/>
      <c r="E30" s="567" t="e">
        <f>E29+E27</f>
        <v>#REF!</v>
      </c>
      <c r="G30" s="572"/>
      <c r="H30" s="272"/>
      <c r="I30" s="273"/>
      <c r="L30" s="576"/>
      <c r="U30" s="70"/>
      <c r="V30" s="70"/>
    </row>
    <row r="31" spans="2:22">
      <c r="B31" s="575" t="s">
        <v>251</v>
      </c>
      <c r="C31" s="127"/>
      <c r="D31" s="129" t="e">
        <f>#REF!</f>
        <v>#REF!</v>
      </c>
      <c r="E31" s="570" t="e">
        <f>E30*D31</f>
        <v>#REF!</v>
      </c>
      <c r="G31" s="572"/>
      <c r="H31" s="272"/>
      <c r="I31" s="273"/>
      <c r="U31" s="70"/>
      <c r="V31" s="70"/>
    </row>
    <row r="32" spans="2:22">
      <c r="B32" s="566" t="s">
        <v>253</v>
      </c>
      <c r="C32" s="127"/>
      <c r="D32" s="127"/>
      <c r="E32" s="567" t="e">
        <f>E31+E30</f>
        <v>#REF!</v>
      </c>
      <c r="G32" s="574"/>
      <c r="H32" s="272"/>
      <c r="I32" s="273"/>
      <c r="U32" s="70"/>
      <c r="V32" s="70"/>
    </row>
    <row r="33" spans="2:22">
      <c r="B33" s="577" t="s">
        <v>254</v>
      </c>
      <c r="C33" s="185"/>
      <c r="D33" s="578"/>
      <c r="E33" s="578" t="e">
        <f>E32/E3</f>
        <v>#REF!</v>
      </c>
      <c r="G33" s="572"/>
      <c r="H33" s="272"/>
      <c r="I33" s="273"/>
      <c r="U33" s="70"/>
      <c r="V33" s="70"/>
    </row>
    <row r="34" spans="2:22">
      <c r="B34" s="579" t="s">
        <v>257</v>
      </c>
      <c r="C34" s="580">
        <f>M19</f>
        <v>0.98</v>
      </c>
      <c r="D34" s="581"/>
      <c r="E34" s="582" t="e">
        <f>E33/C34</f>
        <v>#REF!</v>
      </c>
      <c r="G34" s="572"/>
      <c r="H34" s="272"/>
      <c r="I34" s="273"/>
      <c r="U34" s="70"/>
      <c r="V34" s="70"/>
    </row>
    <row r="35" spans="2:22">
      <c r="G35" s="572"/>
      <c r="H35" s="272"/>
      <c r="I35" s="273"/>
      <c r="U35" s="70"/>
      <c r="V35" s="70"/>
    </row>
    <row r="36" spans="2:22">
      <c r="G36" s="572"/>
      <c r="H36" s="272"/>
      <c r="I36" s="273"/>
      <c r="Q36" s="97"/>
      <c r="R36" s="97"/>
      <c r="U36" s="70"/>
      <c r="V36" s="70"/>
    </row>
  </sheetData>
  <mergeCells count="6">
    <mergeCell ref="L26:N28"/>
    <mergeCell ref="B2:E2"/>
    <mergeCell ref="G2:J2"/>
    <mergeCell ref="L2:N2"/>
    <mergeCell ref="L3:M3"/>
    <mergeCell ref="L14:M14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1C4B-E58E-43D8-8C91-68C707D177A3}">
  <sheetPr>
    <pageSetUpPr fitToPage="1"/>
  </sheetPr>
  <dimension ref="A1:N40"/>
  <sheetViews>
    <sheetView showGridLines="0" topLeftCell="G1" zoomScale="110" zoomScaleNormal="110" workbookViewId="0">
      <selection activeCell="L28" sqref="L28"/>
    </sheetView>
  </sheetViews>
  <sheetFormatPr defaultColWidth="9.140625" defaultRowHeight="12.75"/>
  <cols>
    <col min="1" max="1" width="7.140625" style="70" hidden="1" customWidth="1"/>
    <col min="2" max="2" width="28.42578125" style="70" hidden="1" customWidth="1"/>
    <col min="3" max="3" width="12.42578125" style="70" hidden="1" customWidth="1"/>
    <col min="4" max="4" width="16.140625" style="70" hidden="1" customWidth="1"/>
    <col min="5" max="5" width="14.28515625" style="70" hidden="1" customWidth="1"/>
    <col min="6" max="6" width="2.85546875" style="70" hidden="1" customWidth="1"/>
    <col min="7" max="7" width="32.85546875" style="70" customWidth="1"/>
    <col min="8" max="8" width="12.85546875" style="70" bestFit="1" customWidth="1"/>
    <col min="9" max="9" width="16.140625" style="70" customWidth="1"/>
    <col min="10" max="10" width="14.28515625" style="70" customWidth="1"/>
    <col min="11" max="11" width="4.42578125" style="70" customWidth="1"/>
    <col min="12" max="12" width="32.42578125" style="70" customWidth="1"/>
    <col min="13" max="13" width="13.85546875" style="70" customWidth="1"/>
    <col min="14" max="14" width="59.7109375" style="70" customWidth="1"/>
    <col min="15" max="16384" width="9.140625" style="70"/>
  </cols>
  <sheetData>
    <row r="1" spans="2:14" ht="13.5" thickBot="1">
      <c r="G1" s="71"/>
    </row>
    <row r="2" spans="2:14" ht="13.5" thickBot="1">
      <c r="B2" s="636" t="s">
        <v>261</v>
      </c>
      <c r="C2" s="637"/>
      <c r="D2" s="637"/>
      <c r="E2" s="638"/>
      <c r="F2" s="275"/>
      <c r="G2" s="639" t="s">
        <v>335</v>
      </c>
      <c r="H2" s="640"/>
      <c r="I2" s="640"/>
      <c r="J2" s="641"/>
      <c r="K2" s="276"/>
      <c r="L2" s="642" t="s">
        <v>336</v>
      </c>
      <c r="M2" s="643"/>
      <c r="N2" s="644"/>
    </row>
    <row r="3" spans="2:14" ht="13.5" thickBot="1">
      <c r="B3" s="203" t="s">
        <v>215</v>
      </c>
      <c r="C3" s="204">
        <v>50</v>
      </c>
      <c r="D3" s="205" t="s">
        <v>216</v>
      </c>
      <c r="E3" s="206">
        <f>C3*365</f>
        <v>18250</v>
      </c>
      <c r="F3" s="275"/>
      <c r="G3" s="207" t="s">
        <v>215</v>
      </c>
      <c r="H3" s="208">
        <v>50</v>
      </c>
      <c r="I3" s="209" t="s">
        <v>216</v>
      </c>
      <c r="J3" s="210">
        <f>H3*365</f>
        <v>18250</v>
      </c>
      <c r="K3" s="275"/>
      <c r="L3" s="645" t="s">
        <v>232</v>
      </c>
      <c r="M3" s="646"/>
      <c r="N3" s="587" t="s">
        <v>217</v>
      </c>
    </row>
    <row r="4" spans="2:14">
      <c r="B4" s="277" t="s">
        <v>262</v>
      </c>
      <c r="C4" s="212" t="s">
        <v>218</v>
      </c>
      <c r="D4" s="213" t="s">
        <v>219</v>
      </c>
      <c r="E4" s="214" t="s">
        <v>220</v>
      </c>
      <c r="F4" s="278"/>
      <c r="G4" s="279" t="s">
        <v>262</v>
      </c>
      <c r="H4" s="216"/>
      <c r="I4" s="217" t="s">
        <v>219</v>
      </c>
      <c r="J4" s="218" t="s">
        <v>220</v>
      </c>
      <c r="K4" s="278"/>
      <c r="L4" s="90" t="s">
        <v>221</v>
      </c>
      <c r="M4" s="286">
        <v>1</v>
      </c>
      <c r="N4" s="287" t="s">
        <v>234</v>
      </c>
    </row>
    <row r="5" spans="2:14">
      <c r="B5" s="219" t="s">
        <v>222</v>
      </c>
      <c r="C5" s="280"/>
      <c r="D5" s="94"/>
      <c r="E5" s="220"/>
      <c r="F5" s="278"/>
      <c r="G5" s="552" t="str">
        <f>'PACT 80 Rate Budget'!G5</f>
        <v>Management</v>
      </c>
      <c r="H5" s="281"/>
      <c r="I5" s="97"/>
      <c r="J5" s="221">
        <v>76819</v>
      </c>
      <c r="K5" s="278"/>
      <c r="L5" s="90" t="s">
        <v>223</v>
      </c>
      <c r="M5" s="286">
        <v>0.05</v>
      </c>
      <c r="N5" s="287" t="s">
        <v>234</v>
      </c>
    </row>
    <row r="6" spans="2:14">
      <c r="B6" s="98" t="s">
        <v>221</v>
      </c>
      <c r="C6" s="99" t="e">
        <f>#REF!</f>
        <v>#REF!</v>
      </c>
      <c r="D6" s="100">
        <f>M4</f>
        <v>1</v>
      </c>
      <c r="E6" s="220" t="e">
        <f>D6*C6</f>
        <v>#REF!</v>
      </c>
      <c r="F6" s="278"/>
      <c r="G6" s="588" t="str">
        <f>'PACT 80 Rate Budget'!G6</f>
        <v>Clinical / Nursing/ Medical</v>
      </c>
      <c r="H6" s="284"/>
      <c r="I6" s="105"/>
      <c r="J6" s="221">
        <v>499967</v>
      </c>
      <c r="K6" s="278"/>
      <c r="L6" s="90" t="s">
        <v>208</v>
      </c>
      <c r="M6" s="286">
        <v>0.4</v>
      </c>
      <c r="N6" s="287" t="s">
        <v>234</v>
      </c>
    </row>
    <row r="7" spans="2:14">
      <c r="B7" s="98" t="s">
        <v>223</v>
      </c>
      <c r="C7" s="99" t="e">
        <f>#REF!</f>
        <v>#REF!</v>
      </c>
      <c r="D7" s="100">
        <f>M5</f>
        <v>0.05</v>
      </c>
      <c r="E7" s="220" t="e">
        <f>D7*C7</f>
        <v>#REF!</v>
      </c>
      <c r="F7" s="278"/>
      <c r="G7" s="553" t="str">
        <f>'PACT 80 Rate Budget'!G7</f>
        <v>Direct Service Worker and Support Staff</v>
      </c>
      <c r="H7" s="284"/>
      <c r="I7" s="105"/>
      <c r="J7" s="221">
        <v>406784</v>
      </c>
      <c r="K7" s="278"/>
      <c r="L7" s="90" t="s">
        <v>224</v>
      </c>
      <c r="M7" s="286">
        <v>2</v>
      </c>
      <c r="N7" s="287" t="s">
        <v>234</v>
      </c>
    </row>
    <row r="8" spans="2:14">
      <c r="B8" s="282" t="s">
        <v>225</v>
      </c>
      <c r="C8" s="283"/>
      <c r="D8" s="100"/>
      <c r="E8" s="220"/>
      <c r="F8" s="278"/>
      <c r="G8" s="239" t="s">
        <v>236</v>
      </c>
      <c r="H8" s="240"/>
      <c r="I8" s="241">
        <v>14.95</v>
      </c>
      <c r="J8" s="242">
        <f>SUM(J5:J7)</f>
        <v>983570</v>
      </c>
      <c r="K8" s="278"/>
      <c r="L8" s="90" t="s">
        <v>229</v>
      </c>
      <c r="M8" s="286">
        <v>1.5</v>
      </c>
      <c r="N8" s="287" t="s">
        <v>234</v>
      </c>
    </row>
    <row r="9" spans="2:14">
      <c r="B9" s="98" t="s">
        <v>208</v>
      </c>
      <c r="C9" s="99" t="e">
        <f>#REF!</f>
        <v>#REF!</v>
      </c>
      <c r="D9" s="100">
        <f>M6</f>
        <v>0.4</v>
      </c>
      <c r="E9" s="220" t="e">
        <f>D9*C9</f>
        <v>#REF!</v>
      </c>
      <c r="F9" s="278"/>
      <c r="G9" s="132" t="s">
        <v>322</v>
      </c>
      <c r="I9" s="245">
        <f>M19</f>
        <v>2.7811565914169036E-2</v>
      </c>
      <c r="J9" s="563">
        <f>J8*I9</f>
        <v>27354.621886199238</v>
      </c>
      <c r="K9" s="278"/>
      <c r="L9" s="90" t="s">
        <v>265</v>
      </c>
      <c r="M9" s="286">
        <v>1.5</v>
      </c>
      <c r="N9" s="287" t="s">
        <v>234</v>
      </c>
    </row>
    <row r="10" spans="2:14">
      <c r="B10" s="98" t="s">
        <v>263</v>
      </c>
      <c r="C10" s="99" t="e">
        <f>#REF!</f>
        <v>#REF!</v>
      </c>
      <c r="D10" s="100">
        <f>M7</f>
        <v>2</v>
      </c>
      <c r="E10" s="220" t="e">
        <f>D10*C10</f>
        <v>#REF!</v>
      </c>
      <c r="F10" s="285"/>
      <c r="G10" s="132" t="s">
        <v>237</v>
      </c>
      <c r="I10" s="244">
        <f>M14</f>
        <v>0.25390000000000001</v>
      </c>
      <c r="J10" s="134">
        <f>(J9+J8)*I10</f>
        <v>256673.76149690599</v>
      </c>
      <c r="K10" s="285"/>
      <c r="L10" s="90" t="s">
        <v>231</v>
      </c>
      <c r="M10" s="286">
        <v>1</v>
      </c>
      <c r="N10" s="287" t="s">
        <v>234</v>
      </c>
    </row>
    <row r="11" spans="2:14">
      <c r="B11" s="98" t="s">
        <v>227</v>
      </c>
      <c r="C11" s="99" t="e">
        <f>#REF!</f>
        <v>#REF!</v>
      </c>
      <c r="D11" s="100">
        <f>M8</f>
        <v>1.5</v>
      </c>
      <c r="E11" s="224" t="e">
        <f>D11*C11</f>
        <v>#REF!</v>
      </c>
      <c r="F11" s="278"/>
      <c r="G11" s="239" t="s">
        <v>238</v>
      </c>
      <c r="H11" s="136"/>
      <c r="I11" s="120"/>
      <c r="J11" s="248">
        <f>SUM(J8:J10)</f>
        <v>1267598.3833831053</v>
      </c>
      <c r="K11" s="278"/>
      <c r="L11" s="103" t="s">
        <v>226</v>
      </c>
      <c r="M11" s="294">
        <v>6.5</v>
      </c>
      <c r="N11" s="287" t="s">
        <v>234</v>
      </c>
    </row>
    <row r="12" spans="2:14">
      <c r="B12" s="282" t="s">
        <v>228</v>
      </c>
      <c r="C12" s="283"/>
      <c r="D12" s="100"/>
      <c r="E12" s="220"/>
      <c r="F12" s="278"/>
      <c r="G12" s="132"/>
      <c r="I12" s="201" t="s">
        <v>239</v>
      </c>
      <c r="J12" s="251"/>
      <c r="K12" s="278"/>
      <c r="L12" s="138" t="s">
        <v>230</v>
      </c>
      <c r="M12" s="295">
        <v>1</v>
      </c>
      <c r="N12" s="296" t="s">
        <v>234</v>
      </c>
    </row>
    <row r="13" spans="2:14">
      <c r="B13" s="98" t="s">
        <v>231</v>
      </c>
      <c r="C13" s="99" t="e">
        <f>#REF!</f>
        <v>#REF!</v>
      </c>
      <c r="D13" s="100">
        <f>M10</f>
        <v>1</v>
      </c>
      <c r="E13" s="220" t="e">
        <f>D13*C13</f>
        <v>#REF!</v>
      </c>
      <c r="F13" s="278"/>
      <c r="G13" s="132" t="str">
        <f>B24</f>
        <v>Occupancy (per FTE)</v>
      </c>
      <c r="I13" s="298">
        <f>D24</f>
        <v>8317</v>
      </c>
      <c r="J13" s="145">
        <f>I13*I8</f>
        <v>124339.15</v>
      </c>
      <c r="K13" s="278"/>
      <c r="L13" s="649" t="s">
        <v>240</v>
      </c>
      <c r="M13" s="650"/>
      <c r="N13" s="111"/>
    </row>
    <row r="14" spans="2:14">
      <c r="B14" s="98" t="s">
        <v>264</v>
      </c>
      <c r="C14" s="99" t="e">
        <f>#REF!</f>
        <v>#REF!</v>
      </c>
      <c r="D14" s="100">
        <f>M11</f>
        <v>6.5</v>
      </c>
      <c r="E14" s="220" t="e">
        <f>D14*C14</f>
        <v>#REF!</v>
      </c>
      <c r="F14" s="278"/>
      <c r="G14" s="132" t="str">
        <f>B25</f>
        <v>Other Program Expenses (per FTE)</v>
      </c>
      <c r="I14" s="298">
        <f>D25</f>
        <v>3113</v>
      </c>
      <c r="J14" s="145">
        <f>I14*I8</f>
        <v>46539.35</v>
      </c>
      <c r="K14" s="278"/>
      <c r="L14" s="146" t="s">
        <v>241</v>
      </c>
      <c r="M14" s="255">
        <f>'PACT 80 Rate Budget'!M15</f>
        <v>0.25390000000000001</v>
      </c>
      <c r="N14" s="91" t="s">
        <v>242</v>
      </c>
    </row>
    <row r="15" spans="2:14">
      <c r="B15" s="98" t="s">
        <v>230</v>
      </c>
      <c r="C15" s="99" t="e">
        <f>#REF!</f>
        <v>#REF!</v>
      </c>
      <c r="D15" s="100">
        <f>M12</f>
        <v>1</v>
      </c>
      <c r="E15" s="220" t="e">
        <f>D15*C15</f>
        <v>#REF!</v>
      </c>
      <c r="F15" s="288"/>
      <c r="G15" s="239" t="s">
        <v>245</v>
      </c>
      <c r="H15" s="136"/>
      <c r="I15" s="120"/>
      <c r="J15" s="137">
        <f>SUM(J11:J14)</f>
        <v>1438476.8833831053</v>
      </c>
      <c r="K15" s="288"/>
      <c r="L15" s="146" t="s">
        <v>243</v>
      </c>
      <c r="M15" s="256">
        <v>8317</v>
      </c>
      <c r="N15" s="150" t="s">
        <v>327</v>
      </c>
    </row>
    <row r="16" spans="2:14" ht="13.5" thickBot="1">
      <c r="B16" s="289" t="s">
        <v>235</v>
      </c>
      <c r="C16" s="229" t="e">
        <f>SUM(C6:C15)</f>
        <v>#REF!</v>
      </c>
      <c r="D16" s="237">
        <f>SUM(D6:D15)</f>
        <v>13.45</v>
      </c>
      <c r="E16" s="290" t="e">
        <f>SUM(E6:E15)</f>
        <v>#REF!</v>
      </c>
      <c r="F16" s="278"/>
      <c r="G16" s="154" t="s">
        <v>246</v>
      </c>
      <c r="H16" s="155"/>
      <c r="I16" s="156">
        <f>D28</f>
        <v>0.12</v>
      </c>
      <c r="J16" s="157">
        <f>J15*I16</f>
        <v>172617.22600597262</v>
      </c>
      <c r="K16" s="278"/>
      <c r="L16" s="304" t="s">
        <v>328</v>
      </c>
      <c r="M16" s="305">
        <f>'PACT 50 Rate Budget'!M16</f>
        <v>3113</v>
      </c>
      <c r="N16" s="150" t="str">
        <f>'PACT 80 Rate Budget'!N17</f>
        <v>FY21 UFR Data</v>
      </c>
    </row>
    <row r="17" spans="2:14" ht="13.5" thickTop="1">
      <c r="B17" s="119"/>
      <c r="C17" s="234"/>
      <c r="D17" s="234"/>
      <c r="E17" s="220"/>
      <c r="F17" s="291"/>
      <c r="G17" s="160" t="s">
        <v>248</v>
      </c>
      <c r="H17" s="161"/>
      <c r="I17" s="306"/>
      <c r="J17" s="163">
        <f>J15+J16</f>
        <v>1611094.1093890779</v>
      </c>
      <c r="K17" s="291"/>
      <c r="L17" s="158" t="s">
        <v>247</v>
      </c>
      <c r="M17" s="159">
        <f>'[18]M2021 BLS  SALARY CHART'!D41</f>
        <v>0.12</v>
      </c>
      <c r="N17" s="91" t="str">
        <f>'PACT 80 Rate Budget'!N18</f>
        <v>C.257 Benchmark</v>
      </c>
    </row>
    <row r="18" spans="2:14" ht="13.5" thickBot="1">
      <c r="B18" s="235" t="s">
        <v>236</v>
      </c>
      <c r="C18" s="236"/>
      <c r="D18" s="237">
        <f>D16</f>
        <v>13.45</v>
      </c>
      <c r="E18" s="238" t="e">
        <f>E16</f>
        <v>#REF!</v>
      </c>
      <c r="G18" s="307" t="s">
        <v>324</v>
      </c>
      <c r="H18" s="136"/>
      <c r="I18" s="308">
        <f>M19</f>
        <v>2.7811565914169036E-2</v>
      </c>
      <c r="J18" s="137">
        <f>(J13+J14)*I18</f>
        <v>4752.3986660643332</v>
      </c>
      <c r="L18" s="170" t="s">
        <v>250</v>
      </c>
      <c r="M18" s="171">
        <v>0.98</v>
      </c>
      <c r="N18" s="172" t="s">
        <v>234</v>
      </c>
    </row>
    <row r="19" spans="2:14" ht="13.5" thickBot="1">
      <c r="B19" s="119"/>
      <c r="C19" s="127"/>
      <c r="D19" s="94"/>
      <c r="E19" s="128"/>
      <c r="F19" s="292"/>
      <c r="G19" s="310" t="s">
        <v>252</v>
      </c>
      <c r="I19" s="311"/>
      <c r="J19" s="589">
        <f>J17+J18</f>
        <v>1615846.5080551421</v>
      </c>
      <c r="K19" s="292"/>
      <c r="L19" s="176" t="str">
        <f>'PACT 80 Rate Budget'!L20</f>
        <v xml:space="preserve">CAF FY24  </v>
      </c>
      <c r="M19" s="312">
        <f>'PACT 80 Rate Budget'!M20</f>
        <v>2.7811565914169036E-2</v>
      </c>
      <c r="N19" s="313" t="str">
        <f>'PACT 50 Rate Budget'!N19</f>
        <v>Prospective Period FY24 &amp; FY25</v>
      </c>
    </row>
    <row r="20" spans="2:14" ht="13.5" thickBot="1">
      <c r="B20" s="119" t="s">
        <v>237</v>
      </c>
      <c r="C20" s="127"/>
      <c r="D20" s="293">
        <v>0.21709999999999999</v>
      </c>
      <c r="E20" s="243" t="e">
        <f>D20*E16</f>
        <v>#REF!</v>
      </c>
      <c r="F20" s="131"/>
      <c r="G20" s="315" t="s">
        <v>267</v>
      </c>
      <c r="H20" s="316"/>
      <c r="I20" s="317"/>
      <c r="J20" s="318">
        <f>(J19/J3)+0.01</f>
        <v>88.549534687952999</v>
      </c>
      <c r="K20" s="131"/>
      <c r="L20" s="197"/>
      <c r="M20" s="198"/>
      <c r="N20" s="199"/>
    </row>
    <row r="21" spans="2:14" ht="13.5" thickBot="1">
      <c r="B21" s="119"/>
      <c r="C21" s="127"/>
      <c r="D21" s="94"/>
      <c r="E21" s="130"/>
      <c r="F21" s="292"/>
      <c r="G21" s="269" t="s">
        <v>257</v>
      </c>
      <c r="H21" s="180"/>
      <c r="I21" s="270">
        <v>0.98</v>
      </c>
      <c r="J21" s="319">
        <f>J20/I21</f>
        <v>90.356668048931638</v>
      </c>
      <c r="K21" s="292"/>
      <c r="L21" s="197"/>
      <c r="M21" s="198"/>
      <c r="N21" s="199"/>
    </row>
    <row r="22" spans="2:14">
      <c r="B22" s="235" t="s">
        <v>238</v>
      </c>
      <c r="C22" s="122"/>
      <c r="D22" s="116"/>
      <c r="E22" s="247" t="e">
        <f>E18+E20</f>
        <v>#REF!</v>
      </c>
      <c r="F22" s="292"/>
      <c r="G22" s="314"/>
      <c r="J22" s="320"/>
      <c r="K22" s="292"/>
    </row>
    <row r="23" spans="2:14">
      <c r="B23" s="249"/>
      <c r="C23" s="127"/>
      <c r="D23" s="234" t="s">
        <v>239</v>
      </c>
      <c r="E23" s="243"/>
      <c r="F23" s="125"/>
      <c r="J23" s="200"/>
      <c r="K23" s="125"/>
      <c r="L23" s="635"/>
      <c r="M23" s="635"/>
      <c r="N23" s="635"/>
    </row>
    <row r="24" spans="2:14">
      <c r="B24" s="119" t="str">
        <f>L15</f>
        <v>Occupancy (per FTE)</v>
      </c>
      <c r="C24" s="127"/>
      <c r="D24" s="297">
        <f>M15</f>
        <v>8317</v>
      </c>
      <c r="E24" s="143">
        <f>D24*D18</f>
        <v>111863.65</v>
      </c>
      <c r="F24" s="125"/>
      <c r="G24" s="321"/>
      <c r="H24" s="321"/>
      <c r="I24" s="321"/>
      <c r="J24" s="321"/>
      <c r="K24" s="125"/>
      <c r="L24" s="635"/>
      <c r="M24" s="635"/>
      <c r="N24" s="635"/>
    </row>
    <row r="25" spans="2:14">
      <c r="B25" s="119" t="str">
        <f>L16</f>
        <v>Other Program Expenses (per FTE)</v>
      </c>
      <c r="C25" s="127"/>
      <c r="D25" s="299">
        <f>M16</f>
        <v>3113</v>
      </c>
      <c r="E25" s="143">
        <f>D25*D18</f>
        <v>41869.85</v>
      </c>
      <c r="F25" s="131"/>
      <c r="J25" s="325"/>
      <c r="K25" s="131"/>
      <c r="L25" s="635"/>
      <c r="M25" s="635"/>
      <c r="N25" s="635"/>
    </row>
    <row r="26" spans="2:14" ht="15" customHeight="1" thickBot="1">
      <c r="B26" s="300" t="s">
        <v>245</v>
      </c>
      <c r="C26" s="301"/>
      <c r="D26" s="302"/>
      <c r="E26" s="303" t="e">
        <f>SUM(E22:E25)</f>
        <v>#REF!</v>
      </c>
      <c r="F26" s="131"/>
      <c r="H26" s="326"/>
      <c r="K26" s="131"/>
    </row>
    <row r="27" spans="2:14">
      <c r="B27" s="249"/>
      <c r="C27" s="127"/>
      <c r="D27" s="94"/>
      <c r="E27" s="130"/>
      <c r="F27" s="131"/>
      <c r="K27" s="131"/>
      <c r="N27" s="325"/>
    </row>
    <row r="28" spans="2:14">
      <c r="B28" s="119" t="s">
        <v>246</v>
      </c>
      <c r="C28" s="127"/>
      <c r="D28" s="129">
        <f>M17</f>
        <v>0.12</v>
      </c>
      <c r="E28" s="130" t="e">
        <f>D28*E26</f>
        <v>#REF!</v>
      </c>
      <c r="F28" s="292"/>
      <c r="K28" s="292"/>
    </row>
    <row r="29" spans="2:14" ht="15" customHeight="1">
      <c r="B29" s="258" t="s">
        <v>249</v>
      </c>
      <c r="C29" s="165"/>
      <c r="D29" s="166"/>
      <c r="E29" s="259" t="e">
        <f>E28+E26</f>
        <v>#REF!</v>
      </c>
      <c r="F29" s="125"/>
      <c r="K29" s="125"/>
    </row>
    <row r="30" spans="2:14">
      <c r="B30" s="173" t="s">
        <v>251</v>
      </c>
      <c r="C30" s="127"/>
      <c r="D30" s="129" t="e">
        <f>#REF!</f>
        <v>#REF!</v>
      </c>
      <c r="E30" s="143" t="e">
        <f>E29*D30</f>
        <v>#REF!</v>
      </c>
      <c r="F30" s="292"/>
      <c r="K30" s="292"/>
    </row>
    <row r="31" spans="2:14" ht="15" customHeight="1">
      <c r="B31" s="258" t="s">
        <v>266</v>
      </c>
      <c r="C31" s="165"/>
      <c r="D31" s="309"/>
      <c r="E31" s="259" t="e">
        <f>E30+E29</f>
        <v>#REF!</v>
      </c>
    </row>
    <row r="32" spans="2:14" ht="13.5" thickBot="1">
      <c r="B32" s="266" t="s">
        <v>254</v>
      </c>
      <c r="C32" s="185"/>
      <c r="D32" s="186"/>
      <c r="E32" s="187" t="e">
        <f>E31/E3</f>
        <v>#REF!</v>
      </c>
      <c r="F32" s="314"/>
      <c r="K32" s="314"/>
    </row>
    <row r="33" spans="2:11" ht="13.5" thickBot="1">
      <c r="B33" s="191" t="s">
        <v>257</v>
      </c>
      <c r="C33" s="192"/>
      <c r="D33" s="193">
        <f>M18</f>
        <v>0.98</v>
      </c>
      <c r="E33" s="268" t="e">
        <f>E32/D33</f>
        <v>#REF!</v>
      </c>
      <c r="F33" s="314"/>
    </row>
    <row r="35" spans="2:11">
      <c r="F35" s="321"/>
      <c r="K35" s="321"/>
    </row>
    <row r="36" spans="2:11">
      <c r="B36" s="322"/>
      <c r="C36" s="323"/>
      <c r="D36" s="324"/>
    </row>
    <row r="37" spans="2:11" ht="20.100000000000001" customHeight="1"/>
    <row r="38" spans="2:11" ht="20.100000000000001" customHeight="1"/>
    <row r="39" spans="2:11" ht="20.100000000000001" customHeight="1"/>
    <row r="40" spans="2:11" ht="20.100000000000001" customHeight="1">
      <c r="B40" s="70" t="e">
        <f>CONCATENATE(#REF!," ",#REF!," ",#REF!)</f>
        <v>#REF!</v>
      </c>
    </row>
  </sheetData>
  <mergeCells count="6">
    <mergeCell ref="L23:N25"/>
    <mergeCell ref="B2:E2"/>
    <mergeCell ref="G2:J2"/>
    <mergeCell ref="L2:N2"/>
    <mergeCell ref="L3:M3"/>
    <mergeCell ref="L13:M13"/>
  </mergeCells>
  <pageMargins left="0.25" right="0.25" top="0.75" bottom="0.75" header="0.3" footer="0.3"/>
  <pageSetup scale="73" orientation="landscape" r:id="rId1"/>
  <ignoredErrors>
    <ignoredError sqref="J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1617-DBF7-461C-A791-448696C2190A}">
  <sheetPr>
    <pageSetUpPr fitToPage="1"/>
  </sheetPr>
  <dimension ref="A1:P392"/>
  <sheetViews>
    <sheetView showGridLines="0" topLeftCell="G1" zoomScale="130" zoomScaleNormal="130" workbookViewId="0">
      <selection activeCell="M23" sqref="M23"/>
    </sheetView>
  </sheetViews>
  <sheetFormatPr defaultColWidth="9.140625" defaultRowHeight="12.75"/>
  <cols>
    <col min="1" max="1" width="4.28515625" style="458" hidden="1" customWidth="1"/>
    <col min="2" max="2" width="25.28515625" style="458" hidden="1" customWidth="1"/>
    <col min="3" max="3" width="12.42578125" style="458" hidden="1" customWidth="1"/>
    <col min="4" max="4" width="13.140625" style="458" hidden="1" customWidth="1"/>
    <col min="5" max="5" width="12.28515625" style="458" hidden="1" customWidth="1"/>
    <col min="6" max="6" width="6.140625" style="70" hidden="1" customWidth="1"/>
    <col min="7" max="7" width="25.28515625" style="70" customWidth="1"/>
    <col min="8" max="8" width="12.42578125" style="70" customWidth="1"/>
    <col min="9" max="9" width="13.140625" style="70" customWidth="1"/>
    <col min="10" max="10" width="13.28515625" style="70" customWidth="1"/>
    <col min="11" max="11" width="6.140625" style="70" customWidth="1"/>
    <col min="12" max="12" width="29" style="70" customWidth="1"/>
    <col min="13" max="13" width="11" style="70" customWidth="1"/>
    <col min="14" max="14" width="71" style="70" customWidth="1"/>
    <col min="15" max="15" width="13" style="70" customWidth="1"/>
    <col min="16" max="16384" width="9.140625" style="70"/>
  </cols>
  <sheetData>
    <row r="1" spans="1:16" ht="13.5" thickBot="1">
      <c r="A1" s="70"/>
      <c r="B1" s="70"/>
      <c r="C1" s="70"/>
      <c r="D1" s="70"/>
      <c r="E1" s="70"/>
      <c r="G1" s="71"/>
    </row>
    <row r="2" spans="1:16" ht="13.5" thickBot="1">
      <c r="A2" s="327"/>
      <c r="B2" s="651" t="s">
        <v>268</v>
      </c>
      <c r="C2" s="652"/>
      <c r="D2" s="652"/>
      <c r="E2" s="653"/>
      <c r="G2" s="654" t="s">
        <v>338</v>
      </c>
      <c r="H2" s="655"/>
      <c r="I2" s="655"/>
      <c r="J2" s="656"/>
      <c r="L2" s="642" t="s">
        <v>339</v>
      </c>
      <c r="M2" s="643"/>
      <c r="N2" s="644"/>
    </row>
    <row r="3" spans="1:16">
      <c r="A3" s="328"/>
      <c r="B3" s="329" t="s">
        <v>269</v>
      </c>
      <c r="C3" s="330">
        <v>5</v>
      </c>
      <c r="D3" s="331" t="s">
        <v>270</v>
      </c>
      <c r="E3" s="332">
        <f>C3*365</f>
        <v>1825</v>
      </c>
      <c r="G3" s="333" t="s">
        <v>269</v>
      </c>
      <c r="H3" s="334">
        <v>5</v>
      </c>
      <c r="I3" s="335" t="s">
        <v>270</v>
      </c>
      <c r="J3" s="336">
        <f>H3*365</f>
        <v>1825</v>
      </c>
      <c r="L3" s="647" t="s">
        <v>232</v>
      </c>
      <c r="M3" s="648"/>
      <c r="N3" s="596" t="s">
        <v>217</v>
      </c>
    </row>
    <row r="4" spans="1:16" ht="13.5" thickBot="1">
      <c r="A4" s="328"/>
      <c r="B4" s="337"/>
      <c r="C4" s="338"/>
      <c r="D4" s="338"/>
      <c r="E4" s="339"/>
      <c r="G4" s="340"/>
      <c r="H4" s="341"/>
      <c r="I4" s="341"/>
      <c r="J4" s="342"/>
      <c r="L4" s="103" t="s">
        <v>271</v>
      </c>
      <c r="M4" s="357">
        <v>0.05</v>
      </c>
      <c r="N4" s="91" t="s">
        <v>276</v>
      </c>
    </row>
    <row r="5" spans="1:16">
      <c r="A5" s="328"/>
      <c r="B5" s="343"/>
      <c r="C5" s="344" t="s">
        <v>218</v>
      </c>
      <c r="D5" s="344" t="s">
        <v>219</v>
      </c>
      <c r="E5" s="345" t="s">
        <v>220</v>
      </c>
      <c r="G5" s="346"/>
      <c r="H5" s="347"/>
      <c r="I5" s="347" t="s">
        <v>219</v>
      </c>
      <c r="J5" s="348" t="s">
        <v>220</v>
      </c>
      <c r="L5" s="103" t="s">
        <v>272</v>
      </c>
      <c r="M5" s="357">
        <v>1</v>
      </c>
      <c r="N5" s="91" t="s">
        <v>276</v>
      </c>
    </row>
    <row r="6" spans="1:16">
      <c r="A6" s="328"/>
      <c r="B6" s="266" t="s">
        <v>228</v>
      </c>
      <c r="C6" s="349"/>
      <c r="D6" s="349"/>
      <c r="E6" s="350"/>
      <c r="G6" s="410" t="str">
        <f>'Forensic PACT Rate Budget'!G5</f>
        <v>Management</v>
      </c>
      <c r="H6" s="351"/>
      <c r="I6" s="351"/>
      <c r="J6" s="594">
        <v>76819</v>
      </c>
      <c r="L6" s="103" t="s">
        <v>273</v>
      </c>
      <c r="M6" s="357">
        <v>7</v>
      </c>
      <c r="N6" s="91" t="s">
        <v>276</v>
      </c>
      <c r="O6" s="352"/>
      <c r="P6" s="325"/>
    </row>
    <row r="7" spans="1:16">
      <c r="A7" s="328"/>
      <c r="B7" s="353" t="s">
        <v>271</v>
      </c>
      <c r="C7" s="354" t="e">
        <f>#REF!</f>
        <v>#REF!</v>
      </c>
      <c r="D7" s="355">
        <f>M4</f>
        <v>0.05</v>
      </c>
      <c r="E7" s="356" t="e">
        <f>D7*C7</f>
        <v>#REF!</v>
      </c>
      <c r="G7" s="554" t="s">
        <v>329</v>
      </c>
      <c r="H7" s="591"/>
      <c r="I7" s="592"/>
      <c r="J7" s="593">
        <v>319256</v>
      </c>
      <c r="L7" s="103" t="s">
        <v>274</v>
      </c>
      <c r="M7" s="357">
        <v>1.08</v>
      </c>
      <c r="N7" s="91" t="s">
        <v>276</v>
      </c>
    </row>
    <row r="8" spans="1:16">
      <c r="A8" s="328"/>
      <c r="B8" s="353" t="s">
        <v>272</v>
      </c>
      <c r="C8" s="354" t="e">
        <f>#REF!</f>
        <v>#REF!</v>
      </c>
      <c r="D8" s="355">
        <f t="shared" ref="D8:D10" si="0">M5</f>
        <v>1</v>
      </c>
      <c r="E8" s="356" t="e">
        <f>D8*C8</f>
        <v>#REF!</v>
      </c>
      <c r="G8" s="590" t="s">
        <v>236</v>
      </c>
      <c r="H8" s="370"/>
      <c r="I8" s="371">
        <v>9.1300000000000008</v>
      </c>
      <c r="J8" s="372">
        <f>SUM(J6:J7)</f>
        <v>396075</v>
      </c>
      <c r="L8" s="649" t="s">
        <v>278</v>
      </c>
      <c r="M8" s="650"/>
      <c r="N8" s="111"/>
    </row>
    <row r="9" spans="1:16">
      <c r="A9" s="328"/>
      <c r="B9" s="353" t="s">
        <v>275</v>
      </c>
      <c r="C9" s="354" t="e">
        <f>#REF!</f>
        <v>#REF!</v>
      </c>
      <c r="D9" s="355">
        <f t="shared" si="0"/>
        <v>7</v>
      </c>
      <c r="E9" s="356" t="e">
        <f>D9*C9</f>
        <v>#REF!</v>
      </c>
      <c r="G9" s="376" t="s">
        <v>330</v>
      </c>
      <c r="H9" s="377"/>
      <c r="I9" s="381">
        <f>M16</f>
        <v>2.7811565914169036E-2</v>
      </c>
      <c r="J9" s="595">
        <f>J8*I9</f>
        <v>11015.465969454501</v>
      </c>
      <c r="L9" s="146" t="s">
        <v>241</v>
      </c>
      <c r="M9" s="255">
        <f>'Forensic PACT Rate Budget'!I10</f>
        <v>0.25390000000000001</v>
      </c>
      <c r="N9" s="91" t="s">
        <v>242</v>
      </c>
    </row>
    <row r="10" spans="1:16">
      <c r="A10" s="328"/>
      <c r="B10" s="358" t="s">
        <v>274</v>
      </c>
      <c r="C10" s="359" t="e">
        <f>#REF!</f>
        <v>#REF!</v>
      </c>
      <c r="D10" s="360">
        <f t="shared" si="0"/>
        <v>1.08</v>
      </c>
      <c r="E10" s="361" t="e">
        <f>D10*C10</f>
        <v>#REF!</v>
      </c>
      <c r="G10" s="376" t="s">
        <v>277</v>
      </c>
      <c r="H10" s="380"/>
      <c r="I10" s="381">
        <f>M9</f>
        <v>0.25390000000000001</v>
      </c>
      <c r="J10" s="382">
        <f>J8*I10</f>
        <v>100563.4425</v>
      </c>
      <c r="L10" s="387" t="s">
        <v>280</v>
      </c>
      <c r="M10" s="388">
        <v>17820</v>
      </c>
      <c r="N10" s="91" t="s">
        <v>281</v>
      </c>
    </row>
    <row r="11" spans="1:16">
      <c r="A11" s="328"/>
      <c r="B11" s="362" t="s">
        <v>235</v>
      </c>
      <c r="C11" s="363" t="e">
        <f>SUM(C7:C10)</f>
        <v>#REF!</v>
      </c>
      <c r="D11" s="364">
        <v>9.2769230769230759</v>
      </c>
      <c r="E11" s="365" t="e">
        <f>SUM(E7:E10)</f>
        <v>#REF!</v>
      </c>
      <c r="G11" s="369" t="s">
        <v>238</v>
      </c>
      <c r="H11" s="393"/>
      <c r="I11" s="394"/>
      <c r="J11" s="395">
        <f>SUM(J8:J10)</f>
        <v>507653.9084694545</v>
      </c>
      <c r="L11" s="376" t="s">
        <v>331</v>
      </c>
      <c r="M11" s="396">
        <v>28.785</v>
      </c>
      <c r="N11" s="150" t="s">
        <v>282</v>
      </c>
    </row>
    <row r="12" spans="1:16">
      <c r="A12" s="366"/>
      <c r="B12" s="337"/>
      <c r="C12" s="338"/>
      <c r="D12" s="367"/>
      <c r="E12" s="368"/>
      <c r="G12" s="399"/>
      <c r="H12" s="400"/>
      <c r="I12" s="401" t="s">
        <v>239</v>
      </c>
      <c r="J12" s="402"/>
      <c r="L12" s="376" t="s">
        <v>283</v>
      </c>
      <c r="M12" s="403">
        <f>'[18]Food February 2022'!K19</f>
        <v>9.1511904761904752</v>
      </c>
      <c r="N12" s="91" t="s">
        <v>281</v>
      </c>
    </row>
    <row r="13" spans="1:16">
      <c r="A13" s="373"/>
      <c r="B13" s="337" t="s">
        <v>277</v>
      </c>
      <c r="C13" s="374">
        <v>0.21709999999999999</v>
      </c>
      <c r="D13" s="367"/>
      <c r="E13" s="375" t="e">
        <f>C13*E11</f>
        <v>#REF!</v>
      </c>
      <c r="G13" s="405" t="str">
        <f>B17</f>
        <v>Transporation (Van)</v>
      </c>
      <c r="H13" s="377"/>
      <c r="I13" s="406">
        <f>M10</f>
        <v>17820</v>
      </c>
      <c r="J13" s="407">
        <f>I13*2</f>
        <v>35640</v>
      </c>
      <c r="L13" s="158" t="s">
        <v>247</v>
      </c>
      <c r="M13" s="408">
        <f>'[18]M2021 BLS  SALARY CHART'!D41</f>
        <v>0.12</v>
      </c>
      <c r="N13" s="91" t="str">
        <f>'Forensic PACT Rate Budget'!N17</f>
        <v>C.257 Benchmark</v>
      </c>
    </row>
    <row r="14" spans="1:16">
      <c r="A14" s="373"/>
      <c r="B14" s="337"/>
      <c r="C14" s="338"/>
      <c r="D14" s="378"/>
      <c r="E14" s="379"/>
      <c r="G14" s="410" t="str">
        <f>B18</f>
        <v>Occupancy (per bed day)</v>
      </c>
      <c r="H14" s="341"/>
      <c r="I14" s="411">
        <f>M11</f>
        <v>28.785</v>
      </c>
      <c r="J14" s="412">
        <f>I14*J3</f>
        <v>52532.625</v>
      </c>
      <c r="L14" s="158"/>
      <c r="M14" s="413"/>
      <c r="N14" s="91"/>
    </row>
    <row r="15" spans="1:16" ht="13.5" thickBot="1">
      <c r="A15" s="373"/>
      <c r="B15" s="383" t="s">
        <v>279</v>
      </c>
      <c r="C15" s="384"/>
      <c r="D15" s="385"/>
      <c r="E15" s="386" t="e">
        <f>E11+E13</f>
        <v>#REF!</v>
      </c>
      <c r="G15" s="410" t="str">
        <f>B19</f>
        <v>Meals (per bed day)</v>
      </c>
      <c r="H15" s="341"/>
      <c r="I15" s="416">
        <f>M12</f>
        <v>9.1511904761904752</v>
      </c>
      <c r="J15" s="417">
        <f>I15*J3</f>
        <v>16700.922619047618</v>
      </c>
      <c r="L15" s="170" t="s">
        <v>250</v>
      </c>
      <c r="M15" s="171">
        <v>0.98</v>
      </c>
      <c r="N15" s="172" t="s">
        <v>234</v>
      </c>
    </row>
    <row r="16" spans="1:16" ht="18.95" customHeight="1" thickBot="1">
      <c r="A16" s="373"/>
      <c r="B16" s="389"/>
      <c r="C16" s="390"/>
      <c r="D16" s="391" t="s">
        <v>239</v>
      </c>
      <c r="E16" s="392"/>
      <c r="G16" s="420" t="s">
        <v>245</v>
      </c>
      <c r="H16" s="421"/>
      <c r="I16" s="422"/>
      <c r="J16" s="423">
        <f>SUM(J11:J15)</f>
        <v>612527.45608850208</v>
      </c>
      <c r="L16" s="267" t="str">
        <f>'Forensic PACT Rate Budget'!L19</f>
        <v xml:space="preserve">CAF FY24  </v>
      </c>
      <c r="M16" s="424">
        <f>'Forensic PACT Rate Budget'!M19</f>
        <v>2.7811565914169036E-2</v>
      </c>
      <c r="N16" s="598" t="str">
        <f>'PACT 50 Rate Budget'!N19</f>
        <v>Prospective Period FY24 &amp; FY25</v>
      </c>
    </row>
    <row r="17" spans="1:14" ht="13.5" thickBot="1">
      <c r="A17" s="373"/>
      <c r="B17" s="184" t="str">
        <f>L10</f>
        <v>Transporation (Van)</v>
      </c>
      <c r="C17" s="338"/>
      <c r="D17" s="397">
        <f>M10</f>
        <v>17820</v>
      </c>
      <c r="E17" s="398">
        <f>D17*2</f>
        <v>35640</v>
      </c>
      <c r="G17" s="429" t="s">
        <v>246</v>
      </c>
      <c r="H17" s="430"/>
      <c r="I17" s="431">
        <f>M13</f>
        <v>0.12</v>
      </c>
      <c r="J17" s="432">
        <f>J16*I17</f>
        <v>73503.29473062024</v>
      </c>
      <c r="L17" s="274"/>
    </row>
    <row r="18" spans="1:14" ht="13.5" thickTop="1">
      <c r="A18" s="373"/>
      <c r="B18" s="337" t="str">
        <f>L11</f>
        <v>Occupancy (per bed day)</v>
      </c>
      <c r="C18" s="338"/>
      <c r="D18" s="404">
        <f>M11</f>
        <v>28.785</v>
      </c>
      <c r="E18" s="398">
        <f>D18*E3</f>
        <v>52532.625</v>
      </c>
      <c r="G18" s="437" t="s">
        <v>248</v>
      </c>
      <c r="H18" s="438"/>
      <c r="I18" s="439"/>
      <c r="J18" s="440">
        <f>SUM(J16:J17)</f>
        <v>686030.7508191223</v>
      </c>
    </row>
    <row r="19" spans="1:14">
      <c r="A19" s="373"/>
      <c r="B19" s="337" t="str">
        <f>L12</f>
        <v>Meals (per bed day)</v>
      </c>
      <c r="C19" s="338"/>
      <c r="D19" s="404">
        <f>M12</f>
        <v>9.1511904761904752</v>
      </c>
      <c r="E19" s="409">
        <f>D19*E3</f>
        <v>16700.922619047618</v>
      </c>
      <c r="G19" s="441" t="str">
        <f>L16</f>
        <v xml:space="preserve">CAF FY24  </v>
      </c>
      <c r="H19" s="442"/>
      <c r="I19" s="443">
        <f>M16</f>
        <v>2.7811565914169036E-2</v>
      </c>
      <c r="J19" s="444">
        <f>SUM(J13:J15)*I19</f>
        <v>2916.6975822598879</v>
      </c>
    </row>
    <row r="20" spans="1:14" ht="13.5" thickBot="1">
      <c r="A20" s="373"/>
      <c r="B20" s="383" t="s">
        <v>284</v>
      </c>
      <c r="C20" s="384"/>
      <c r="D20" s="414"/>
      <c r="E20" s="415" t="e">
        <f>SUM(E15:E19)</f>
        <v>#REF!</v>
      </c>
      <c r="G20" s="310" t="s">
        <v>252</v>
      </c>
      <c r="H20" s="341"/>
      <c r="I20" s="449"/>
      <c r="J20" s="597">
        <f>J18+J19</f>
        <v>688947.44840138219</v>
      </c>
      <c r="N20" s="457"/>
    </row>
    <row r="21" spans="1:14" ht="13.5" thickBot="1">
      <c r="A21" s="373"/>
      <c r="B21" s="337"/>
      <c r="C21" s="338"/>
      <c r="D21" s="418"/>
      <c r="E21" s="187"/>
      <c r="G21" s="450" t="s">
        <v>254</v>
      </c>
      <c r="H21" s="451"/>
      <c r="I21" s="452"/>
      <c r="J21" s="453">
        <f>J20/J3</f>
        <v>377.50545117883956</v>
      </c>
    </row>
    <row r="22" spans="1:14" ht="13.5" thickBot="1">
      <c r="A22" s="373"/>
      <c r="B22" s="337" t="s">
        <v>285</v>
      </c>
      <c r="C22" s="419">
        <f>M13</f>
        <v>0.12</v>
      </c>
      <c r="D22" s="367"/>
      <c r="E22" s="375" t="e">
        <f>C22*E20</f>
        <v>#REF!</v>
      </c>
      <c r="G22" s="454" t="s">
        <v>257</v>
      </c>
      <c r="H22" s="455">
        <f>M15</f>
        <v>0.98</v>
      </c>
      <c r="I22" s="452"/>
      <c r="J22" s="456">
        <f>J21/H22</f>
        <v>385.20964406004038</v>
      </c>
      <c r="N22" s="457"/>
    </row>
    <row r="23" spans="1:14" ht="13.5" thickBot="1">
      <c r="A23" s="373"/>
      <c r="B23" s="425" t="s">
        <v>286</v>
      </c>
      <c r="C23" s="426"/>
      <c r="D23" s="427"/>
      <c r="E23" s="428" t="e">
        <f>SUM(E20:E22)</f>
        <v>#REF!</v>
      </c>
      <c r="J23" s="320"/>
      <c r="N23" s="457"/>
    </row>
    <row r="24" spans="1:14" ht="13.5" thickTop="1">
      <c r="A24" s="366"/>
      <c r="B24" s="433" t="s">
        <v>122</v>
      </c>
      <c r="C24" s="434">
        <f>M14</f>
        <v>0</v>
      </c>
      <c r="D24" s="435"/>
      <c r="E24" s="436" t="e">
        <f>E23*(1+C24)</f>
        <v>#REF!</v>
      </c>
      <c r="J24" s="200"/>
    </row>
    <row r="25" spans="1:14" ht="13.5" thickBot="1">
      <c r="A25" s="366"/>
      <c r="B25" s="337" t="s">
        <v>254</v>
      </c>
      <c r="C25" s="338"/>
      <c r="D25" s="418"/>
      <c r="E25" s="187" t="e">
        <f>E24/E3</f>
        <v>#REF!</v>
      </c>
      <c r="G25" s="103"/>
      <c r="H25" s="272"/>
      <c r="I25" s="273"/>
    </row>
    <row r="26" spans="1:14" ht="13.5" thickBot="1">
      <c r="A26" s="366"/>
      <c r="B26" s="445" t="s">
        <v>257</v>
      </c>
      <c r="C26" s="446">
        <f>M15</f>
        <v>0.98</v>
      </c>
      <c r="D26" s="447"/>
      <c r="E26" s="448" t="e">
        <f>E25/C26</f>
        <v>#REF!</v>
      </c>
      <c r="G26" s="103"/>
      <c r="H26" s="272"/>
      <c r="I26" s="273"/>
    </row>
    <row r="27" spans="1:14">
      <c r="A27" s="70"/>
      <c r="B27" s="70"/>
      <c r="C27" s="70"/>
      <c r="D27" s="70"/>
      <c r="E27" s="70"/>
    </row>
    <row r="28" spans="1:14">
      <c r="A28" s="70"/>
      <c r="B28" s="70"/>
      <c r="C28" s="70"/>
      <c r="D28" s="70"/>
      <c r="E28" s="70"/>
    </row>
    <row r="29" spans="1:14">
      <c r="A29" s="70"/>
      <c r="B29" s="70"/>
      <c r="C29" s="70"/>
      <c r="D29" s="70"/>
      <c r="E29" s="70"/>
    </row>
    <row r="30" spans="1:14">
      <c r="A30" s="70"/>
      <c r="B30" s="70"/>
      <c r="C30" s="70"/>
      <c r="D30" s="70"/>
      <c r="E30" s="70"/>
    </row>
    <row r="31" spans="1:14" ht="15" customHeight="1">
      <c r="A31" s="70"/>
      <c r="B31" s="70"/>
      <c r="C31" s="70"/>
      <c r="D31" s="70"/>
      <c r="E31" s="70"/>
    </row>
    <row r="32" spans="1:14" ht="14.25" customHeight="1">
      <c r="A32" s="70"/>
      <c r="B32" s="70"/>
      <c r="C32" s="70"/>
      <c r="D32" s="70"/>
      <c r="E32" s="70"/>
    </row>
    <row r="33" s="70" customFormat="1" ht="15" customHeight="1"/>
    <row r="34" s="70" customFormat="1" ht="15" customHeight="1"/>
    <row r="35" s="70" customFormat="1" ht="15" customHeight="1"/>
    <row r="36" s="70" customFormat="1" ht="15" customHeight="1"/>
    <row r="37" s="70" customFormat="1" ht="15" customHeight="1"/>
    <row r="38" s="70" customFormat="1" ht="15" customHeight="1"/>
    <row r="39" s="70" customFormat="1" ht="15" customHeight="1"/>
    <row r="40" s="70" customFormat="1" ht="15" customHeight="1"/>
    <row r="41" s="70" customFormat="1"/>
    <row r="42" s="70" customFormat="1"/>
    <row r="43" s="70" customFormat="1"/>
    <row r="44" s="70" customFormat="1"/>
    <row r="45" s="70" customFormat="1"/>
    <row r="46" s="70" customFormat="1"/>
    <row r="47" s="70" customFormat="1"/>
    <row r="48" s="70" customFormat="1"/>
    <row r="49" s="70" customFormat="1"/>
    <row r="50" s="70" customFormat="1"/>
    <row r="51" s="70" customFormat="1"/>
    <row r="52" s="70" customFormat="1"/>
    <row r="53" s="70" customFormat="1"/>
    <row r="54" s="70" customFormat="1"/>
    <row r="55" s="70" customFormat="1"/>
    <row r="56" s="70" customFormat="1"/>
    <row r="57" s="70" customFormat="1"/>
    <row r="58" s="70" customFormat="1"/>
    <row r="59" s="70" customFormat="1"/>
    <row r="60" s="70" customFormat="1"/>
    <row r="61" s="70" customFormat="1"/>
    <row r="62" s="70" customFormat="1"/>
    <row r="63" s="70" customFormat="1"/>
    <row r="64" s="70" customFormat="1"/>
    <row r="65" s="70" customFormat="1"/>
    <row r="66" s="70" customFormat="1"/>
    <row r="67" s="70" customFormat="1"/>
    <row r="68" s="70" customFormat="1"/>
    <row r="69" s="70" customFormat="1"/>
    <row r="70" s="70" customFormat="1"/>
    <row r="71" s="70" customFormat="1"/>
    <row r="72" s="70" customFormat="1"/>
    <row r="73" s="70" customFormat="1"/>
    <row r="74" s="70" customFormat="1"/>
    <row r="75" s="70" customFormat="1"/>
    <row r="76" s="70" customFormat="1"/>
    <row r="77" s="70" customFormat="1"/>
    <row r="78" s="70" customFormat="1"/>
    <row r="79" s="70" customFormat="1"/>
    <row r="80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  <row r="101" s="70" customFormat="1"/>
    <row r="102" s="70" customFormat="1"/>
    <row r="103" s="70" customFormat="1"/>
    <row r="104" s="70" customFormat="1"/>
    <row r="105" s="70" customFormat="1"/>
    <row r="106" s="70" customFormat="1"/>
    <row r="107" s="70" customFormat="1"/>
    <row r="108" s="70" customFormat="1"/>
    <row r="109" s="70" customFormat="1"/>
    <row r="110" s="70" customFormat="1"/>
    <row r="111" s="70" customFormat="1"/>
    <row r="112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70" customFormat="1"/>
    <row r="191" s="70" customFormat="1"/>
    <row r="192" s="70" customFormat="1"/>
    <row r="193" s="70" customFormat="1"/>
    <row r="194" s="70" customFormat="1"/>
    <row r="195" s="70" customFormat="1"/>
    <row r="196" s="70" customFormat="1"/>
    <row r="197" s="70" customFormat="1"/>
    <row r="198" s="70" customFormat="1"/>
    <row r="199" s="70" customFormat="1"/>
    <row r="200" s="70" customFormat="1"/>
    <row r="201" s="70" customFormat="1"/>
    <row r="202" s="70" customFormat="1"/>
    <row r="203" s="70" customFormat="1"/>
    <row r="204" s="70" customFormat="1"/>
    <row r="205" s="70" customFormat="1"/>
    <row r="206" s="70" customFormat="1"/>
    <row r="207" s="70" customFormat="1"/>
    <row r="208" s="70" customFormat="1"/>
    <row r="209" s="70" customFormat="1"/>
    <row r="210" s="70" customFormat="1"/>
    <row r="211" s="70" customFormat="1"/>
    <row r="212" s="70" customFormat="1"/>
    <row r="213" s="70" customFormat="1"/>
    <row r="214" s="70" customFormat="1"/>
    <row r="215" s="70" customFormat="1"/>
    <row r="216" s="70" customFormat="1"/>
    <row r="217" s="70" customFormat="1"/>
    <row r="218" s="70" customFormat="1"/>
    <row r="219" s="70" customFormat="1"/>
    <row r="220" s="70" customFormat="1"/>
    <row r="221" s="70" customFormat="1"/>
    <row r="222" s="70" customFormat="1"/>
    <row r="223" s="70" customFormat="1"/>
    <row r="224" s="70" customFormat="1"/>
    <row r="225" s="70" customFormat="1"/>
    <row r="226" s="70" customFormat="1"/>
    <row r="227" s="70" customFormat="1"/>
    <row r="228" s="70" customFormat="1"/>
    <row r="229" s="70" customFormat="1"/>
    <row r="230" s="70" customFormat="1"/>
    <row r="231" s="70" customFormat="1"/>
    <row r="232" s="70" customFormat="1"/>
    <row r="233" s="70" customFormat="1"/>
    <row r="234" s="70" customFormat="1"/>
    <row r="235" s="70" customFormat="1"/>
    <row r="236" s="70" customFormat="1"/>
    <row r="237" s="70" customFormat="1"/>
    <row r="238" s="70" customFormat="1"/>
    <row r="239" s="70" customFormat="1"/>
    <row r="240" s="70" customFormat="1"/>
    <row r="241" s="70" customFormat="1"/>
    <row r="242" s="70" customFormat="1"/>
    <row r="243" s="70" customFormat="1"/>
    <row r="244" s="70" customFormat="1"/>
    <row r="245" s="70" customFormat="1"/>
    <row r="246" s="70" customFormat="1"/>
    <row r="247" s="70" customFormat="1"/>
    <row r="248" s="70" customFormat="1"/>
    <row r="249" s="70" customFormat="1"/>
    <row r="250" s="70" customFormat="1"/>
    <row r="251" s="70" customFormat="1"/>
    <row r="252" s="70" customFormat="1"/>
    <row r="253" s="70" customFormat="1"/>
    <row r="254" s="70" customFormat="1"/>
    <row r="255" s="70" customFormat="1"/>
    <row r="256" s="70" customFormat="1"/>
    <row r="257" s="70" customFormat="1"/>
    <row r="258" s="70" customFormat="1"/>
    <row r="259" s="70" customFormat="1"/>
    <row r="260" s="70" customFormat="1"/>
    <row r="261" s="70" customFormat="1"/>
    <row r="262" s="70" customFormat="1"/>
    <row r="263" s="70" customFormat="1"/>
    <row r="264" s="70" customFormat="1"/>
    <row r="265" s="70" customFormat="1"/>
    <row r="266" s="70" customFormat="1"/>
    <row r="267" s="70" customFormat="1"/>
    <row r="268" s="70" customFormat="1"/>
    <row r="269" s="70" customFormat="1"/>
    <row r="270" s="70" customFormat="1"/>
    <row r="271" s="70" customFormat="1"/>
    <row r="272" s="70" customFormat="1"/>
    <row r="273" s="70" customFormat="1"/>
    <row r="274" s="70" customFormat="1"/>
    <row r="275" s="70" customFormat="1"/>
    <row r="276" s="70" customFormat="1"/>
    <row r="277" s="70" customFormat="1"/>
    <row r="278" s="70" customFormat="1"/>
    <row r="279" s="70" customFormat="1"/>
    <row r="280" s="70" customFormat="1"/>
    <row r="281" s="70" customFormat="1"/>
    <row r="282" s="70" customFormat="1"/>
    <row r="283" s="70" customFormat="1"/>
    <row r="284" s="70" customFormat="1"/>
    <row r="285" s="70" customFormat="1"/>
    <row r="286" s="70" customFormat="1"/>
    <row r="287" s="70" customFormat="1"/>
    <row r="288" s="70" customFormat="1"/>
    <row r="289" s="70" customFormat="1"/>
    <row r="290" s="70" customFormat="1"/>
    <row r="291" s="70" customFormat="1"/>
    <row r="292" s="70" customFormat="1"/>
    <row r="293" s="70" customFormat="1"/>
    <row r="294" s="70" customFormat="1"/>
    <row r="295" s="70" customFormat="1"/>
    <row r="296" s="70" customFormat="1"/>
    <row r="297" s="70" customFormat="1"/>
    <row r="298" s="70" customFormat="1"/>
    <row r="299" s="70" customFormat="1"/>
    <row r="300" s="70" customFormat="1"/>
    <row r="301" s="70" customFormat="1"/>
    <row r="302" s="70" customFormat="1"/>
    <row r="303" s="70" customFormat="1"/>
    <row r="304" s="70" customFormat="1"/>
    <row r="305" s="70" customFormat="1"/>
    <row r="306" s="70" customFormat="1"/>
    <row r="307" s="70" customFormat="1"/>
    <row r="308" s="70" customFormat="1"/>
    <row r="309" s="70" customFormat="1"/>
    <row r="310" s="70" customFormat="1"/>
    <row r="311" s="70" customFormat="1"/>
    <row r="312" s="70" customFormat="1"/>
    <row r="313" s="70" customFormat="1"/>
    <row r="314" s="70" customFormat="1"/>
    <row r="315" s="70" customFormat="1"/>
    <row r="316" s="70" customFormat="1"/>
    <row r="317" s="70" customFormat="1"/>
    <row r="318" s="70" customFormat="1"/>
    <row r="319" s="70" customFormat="1"/>
    <row r="320" s="70" customFormat="1"/>
    <row r="321" s="70" customFormat="1"/>
    <row r="322" s="70" customFormat="1"/>
    <row r="323" s="70" customFormat="1"/>
    <row r="324" s="70" customFormat="1"/>
    <row r="325" s="70" customFormat="1"/>
    <row r="326" s="70" customFormat="1"/>
    <row r="327" s="70" customFormat="1"/>
    <row r="328" s="70" customFormat="1"/>
    <row r="329" s="70" customFormat="1"/>
    <row r="330" s="70" customFormat="1"/>
    <row r="331" s="70" customFormat="1"/>
    <row r="332" s="70" customFormat="1"/>
    <row r="333" s="70" customFormat="1"/>
    <row r="334" s="70" customFormat="1"/>
    <row r="335" s="70" customFormat="1"/>
    <row r="336" s="70" customFormat="1"/>
    <row r="337" s="70" customFormat="1"/>
    <row r="338" s="70" customFormat="1"/>
    <row r="339" s="70" customFormat="1"/>
    <row r="340" s="70" customFormat="1"/>
    <row r="341" s="70" customFormat="1"/>
    <row r="342" s="70" customFormat="1"/>
    <row r="343" s="70" customFormat="1"/>
    <row r="344" s="70" customFormat="1"/>
    <row r="345" s="70" customFormat="1"/>
    <row r="346" s="70" customFormat="1"/>
    <row r="347" s="70" customFormat="1"/>
    <row r="348" s="70" customFormat="1"/>
    <row r="349" s="70" customFormat="1"/>
    <row r="350" s="70" customFormat="1"/>
    <row r="351" s="70" customFormat="1"/>
    <row r="352" s="70" customFormat="1"/>
    <row r="353" s="70" customFormat="1"/>
    <row r="354" s="70" customFormat="1"/>
    <row r="355" s="70" customFormat="1"/>
    <row r="356" s="70" customFormat="1"/>
    <row r="357" s="70" customFormat="1"/>
    <row r="358" s="70" customFormat="1"/>
    <row r="359" s="70" customFormat="1"/>
    <row r="360" s="70" customFormat="1"/>
    <row r="361" s="70" customFormat="1"/>
    <row r="362" s="70" customFormat="1"/>
    <row r="363" s="70" customFormat="1"/>
    <row r="364" s="70" customFormat="1"/>
    <row r="365" s="70" customFormat="1"/>
    <row r="366" s="70" customFormat="1"/>
    <row r="367" s="70" customFormat="1"/>
    <row r="368" s="70" customFormat="1"/>
    <row r="369" s="70" customFormat="1"/>
    <row r="370" s="70" customFormat="1"/>
    <row r="371" s="70" customFormat="1"/>
    <row r="372" s="70" customFormat="1"/>
    <row r="373" s="70" customFormat="1"/>
    <row r="374" s="70" customFormat="1"/>
    <row r="375" s="70" customFormat="1"/>
    <row r="376" s="70" customFormat="1"/>
    <row r="377" s="70" customFormat="1"/>
    <row r="378" s="70" customFormat="1"/>
    <row r="379" s="70" customFormat="1"/>
    <row r="380" s="70" customFormat="1"/>
    <row r="381" s="70" customFormat="1"/>
    <row r="382" s="70" customFormat="1"/>
    <row r="383" s="70" customFormat="1"/>
    <row r="384" s="70" customFormat="1"/>
    <row r="385" spans="1:5">
      <c r="A385" s="70"/>
      <c r="B385" s="70"/>
      <c r="C385" s="70"/>
      <c r="D385" s="70"/>
      <c r="E385" s="70"/>
    </row>
    <row r="386" spans="1:5">
      <c r="A386" s="70"/>
      <c r="B386" s="70"/>
      <c r="C386" s="70"/>
      <c r="D386" s="70"/>
      <c r="E386" s="70"/>
    </row>
    <row r="387" spans="1:5">
      <c r="A387" s="70"/>
      <c r="B387" s="70"/>
      <c r="C387" s="70"/>
      <c r="D387" s="70"/>
      <c r="E387" s="70"/>
    </row>
    <row r="388" spans="1:5">
      <c r="A388" s="70"/>
      <c r="B388" s="70"/>
      <c r="C388" s="70"/>
      <c r="D388" s="70"/>
      <c r="E388" s="70"/>
    </row>
    <row r="389" spans="1:5">
      <c r="A389" s="70"/>
    </row>
    <row r="390" spans="1:5">
      <c r="A390" s="70"/>
    </row>
    <row r="391" spans="1:5">
      <c r="A391" s="70"/>
    </row>
    <row r="392" spans="1:5">
      <c r="A392" s="70"/>
    </row>
  </sheetData>
  <mergeCells count="5">
    <mergeCell ref="B2:E2"/>
    <mergeCell ref="G2:J2"/>
    <mergeCell ref="L2:N2"/>
    <mergeCell ref="L3:M3"/>
    <mergeCell ref="L8:M8"/>
  </mergeCells>
  <pageMargins left="0.25" right="0.25" top="0.75" bottom="0.75" header="0.3" footer="0.3"/>
  <pageSetup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9411-0B47-4BB1-BD1F-10ECDE82998D}">
  <sheetPr>
    <pageSetUpPr fitToPage="1"/>
  </sheetPr>
  <dimension ref="B1:R76"/>
  <sheetViews>
    <sheetView tabSelected="1" topLeftCell="G1" zoomScale="110" zoomScaleNormal="110" workbookViewId="0">
      <selection activeCell="Q20" sqref="Q20"/>
    </sheetView>
  </sheetViews>
  <sheetFormatPr defaultRowHeight="18" customHeight="1"/>
  <cols>
    <col min="2" max="2" width="30.5703125" hidden="1" customWidth="1"/>
    <col min="3" max="3" width="11.28515625" hidden="1" customWidth="1"/>
    <col min="4" max="4" width="10.42578125" hidden="1" customWidth="1"/>
    <col min="5" max="5" width="14.140625" hidden="1" customWidth="1"/>
    <col min="6" max="6" width="15.42578125" hidden="1" customWidth="1"/>
    <col min="7" max="7" width="8.42578125" customWidth="1"/>
    <col min="8" max="8" width="36.85546875" customWidth="1"/>
    <col min="9" max="9" width="3.42578125" bestFit="1" customWidth="1"/>
    <col min="10" max="10" width="12.28515625" bestFit="1" customWidth="1"/>
    <col min="11" max="11" width="10.7109375" bestFit="1" customWidth="1"/>
    <col min="12" max="12" width="16.5703125" customWidth="1"/>
    <col min="13" max="13" width="5.140625" customWidth="1"/>
    <col min="14" max="15" width="1.42578125" customWidth="1"/>
    <col min="16" max="16" width="33.5703125" style="549" customWidth="1"/>
    <col min="17" max="17" width="12.5703125" style="549" customWidth="1"/>
    <col min="18" max="18" width="39.28515625" style="518" customWidth="1"/>
  </cols>
  <sheetData>
    <row r="1" spans="2:18" s="461" customFormat="1" ht="18" customHeight="1" thickBot="1">
      <c r="R1" s="462"/>
    </row>
    <row r="2" spans="2:18" ht="18" customHeight="1" thickBot="1">
      <c r="B2" s="463"/>
      <c r="C2" s="464"/>
      <c r="D2" s="464"/>
      <c r="E2" s="464"/>
      <c r="F2" s="465"/>
      <c r="G2" s="466"/>
      <c r="H2" s="463"/>
      <c r="I2" s="464"/>
      <c r="J2" s="464"/>
      <c r="K2" s="464"/>
      <c r="L2" s="465"/>
      <c r="M2" s="467"/>
      <c r="P2" s="657" t="s">
        <v>341</v>
      </c>
      <c r="Q2" s="658"/>
      <c r="R2" s="659"/>
    </row>
    <row r="3" spans="2:18" ht="18" customHeight="1" thickBot="1">
      <c r="B3" s="660" t="s">
        <v>287</v>
      </c>
      <c r="C3" s="661"/>
      <c r="D3" s="661"/>
      <c r="E3" s="661"/>
      <c r="F3" s="662"/>
      <c r="G3" s="466"/>
      <c r="H3" s="660" t="s">
        <v>340</v>
      </c>
      <c r="I3" s="661"/>
      <c r="J3" s="661"/>
      <c r="K3" s="661"/>
      <c r="L3" s="662"/>
      <c r="M3" s="468"/>
      <c r="P3" s="469"/>
      <c r="Q3" s="470"/>
      <c r="R3" s="471"/>
    </row>
    <row r="4" spans="2:18" ht="18" customHeight="1" thickBot="1">
      <c r="B4" s="472" t="s">
        <v>288</v>
      </c>
      <c r="C4" s="473">
        <v>6</v>
      </c>
      <c r="D4" s="474"/>
      <c r="E4" s="474" t="s">
        <v>289</v>
      </c>
      <c r="F4" s="475">
        <f>6*365</f>
        <v>2190</v>
      </c>
      <c r="G4" s="466"/>
      <c r="H4" s="472" t="s">
        <v>288</v>
      </c>
      <c r="I4" s="473">
        <v>20</v>
      </c>
      <c r="J4" s="474"/>
      <c r="K4" s="474" t="s">
        <v>289</v>
      </c>
      <c r="L4" s="475">
        <f>I4*365</f>
        <v>7300</v>
      </c>
      <c r="M4" s="460"/>
      <c r="P4" s="603" t="s">
        <v>125</v>
      </c>
      <c r="Q4" s="604" t="s">
        <v>219</v>
      </c>
      <c r="R4" s="605" t="s">
        <v>217</v>
      </c>
    </row>
    <row r="5" spans="2:18" ht="18" customHeight="1">
      <c r="B5" s="472" t="s">
        <v>290</v>
      </c>
      <c r="C5" s="473">
        <v>12</v>
      </c>
      <c r="D5" s="474"/>
      <c r="E5" s="474"/>
      <c r="F5" s="475"/>
      <c r="G5" s="466"/>
      <c r="H5" s="472" t="s">
        <v>290</v>
      </c>
      <c r="I5" s="473">
        <v>12</v>
      </c>
      <c r="J5" s="474"/>
      <c r="K5" s="474"/>
      <c r="L5" s="475"/>
      <c r="M5" s="460"/>
      <c r="P5" s="476" t="s">
        <v>291</v>
      </c>
      <c r="Q5" s="599">
        <v>1</v>
      </c>
      <c r="R5" s="148" t="s">
        <v>292</v>
      </c>
    </row>
    <row r="6" spans="2:18" ht="24.95" customHeight="1" thickBot="1">
      <c r="B6" s="472"/>
      <c r="C6" s="474"/>
      <c r="D6" s="477" t="s">
        <v>218</v>
      </c>
      <c r="E6" s="477" t="s">
        <v>219</v>
      </c>
      <c r="F6" s="478" t="s">
        <v>220</v>
      </c>
      <c r="G6" s="466"/>
      <c r="H6" s="472"/>
      <c r="I6" s="474"/>
      <c r="J6" s="477"/>
      <c r="K6" s="477" t="s">
        <v>219</v>
      </c>
      <c r="L6" s="478" t="s">
        <v>220</v>
      </c>
      <c r="M6" s="460"/>
      <c r="P6" s="476" t="s">
        <v>293</v>
      </c>
      <c r="Q6" s="599">
        <v>1</v>
      </c>
      <c r="R6" s="148" t="s">
        <v>292</v>
      </c>
    </row>
    <row r="7" spans="2:18" ht="25.5" customHeight="1">
      <c r="B7" s="479" t="s">
        <v>222</v>
      </c>
      <c r="C7" s="480"/>
      <c r="D7" s="481"/>
      <c r="E7" s="482"/>
      <c r="F7" s="483"/>
      <c r="G7" s="466"/>
      <c r="H7" s="484" t="s">
        <v>222</v>
      </c>
      <c r="I7" s="485"/>
      <c r="J7" s="486"/>
      <c r="K7" s="487"/>
      <c r="L7" s="488">
        <v>146341</v>
      </c>
      <c r="M7" s="460"/>
      <c r="P7" s="476" t="s">
        <v>294</v>
      </c>
      <c r="Q7" s="599">
        <v>0.5</v>
      </c>
      <c r="R7" s="601" t="s">
        <v>295</v>
      </c>
    </row>
    <row r="8" spans="2:18" ht="18" customHeight="1">
      <c r="B8" s="484" t="str">
        <f>P5</f>
        <v xml:space="preserve">    Program Management (LICSW)</v>
      </c>
      <c r="C8" s="485"/>
      <c r="D8" s="486">
        <f>Q5</f>
        <v>1</v>
      </c>
      <c r="E8" s="487">
        <v>0.5</v>
      </c>
      <c r="F8" s="488">
        <f>D8*E8</f>
        <v>0.5</v>
      </c>
      <c r="G8" s="466"/>
      <c r="H8" s="484" t="str">
        <f>'PACT 80 Rate Budget'!G6</f>
        <v>Clinical / Nursing/ Medical</v>
      </c>
      <c r="I8" s="485"/>
      <c r="J8" s="486"/>
      <c r="K8" s="487"/>
      <c r="L8" s="488">
        <v>463165</v>
      </c>
      <c r="M8" s="460"/>
      <c r="P8" s="476" t="s">
        <v>296</v>
      </c>
      <c r="Q8" s="599">
        <v>1</v>
      </c>
      <c r="R8" s="148" t="s">
        <v>292</v>
      </c>
    </row>
    <row r="9" spans="2:18" ht="18" customHeight="1" thickBot="1">
      <c r="B9" s="489" t="str">
        <f>P7</f>
        <v xml:space="preserve">    Psychiatrist / APRN</v>
      </c>
      <c r="C9" s="490"/>
      <c r="D9" s="491">
        <f>Q7</f>
        <v>0.5</v>
      </c>
      <c r="E9" s="492">
        <v>0.25</v>
      </c>
      <c r="F9" s="493">
        <f t="shared" ref="F9:F17" si="0">D9*E9</f>
        <v>0.125</v>
      </c>
      <c r="G9" s="466"/>
      <c r="H9" s="484" t="str">
        <f>'PACT 80 Rate Budget'!G7</f>
        <v>Direct Service Worker and Support Staff</v>
      </c>
      <c r="I9" s="485"/>
      <c r="J9" s="486"/>
      <c r="K9" s="487"/>
      <c r="L9" s="488">
        <v>244053</v>
      </c>
      <c r="M9" s="460"/>
      <c r="P9" s="476" t="s">
        <v>297</v>
      </c>
      <c r="Q9" s="599">
        <v>1</v>
      </c>
      <c r="R9" s="148" t="s">
        <v>292</v>
      </c>
    </row>
    <row r="10" spans="2:18" ht="18" customHeight="1" thickBot="1">
      <c r="B10" s="472" t="s">
        <v>228</v>
      </c>
      <c r="C10" s="485"/>
      <c r="D10" s="486"/>
      <c r="E10" s="487" t="s">
        <v>298</v>
      </c>
      <c r="F10" s="488"/>
      <c r="G10" s="466"/>
      <c r="H10" s="498" t="s">
        <v>235</v>
      </c>
      <c r="I10" s="499"/>
      <c r="J10" s="499"/>
      <c r="K10" s="502">
        <v>12.5</v>
      </c>
      <c r="L10" s="501">
        <f>SUM(L7:L9)</f>
        <v>853559</v>
      </c>
      <c r="M10" s="460"/>
      <c r="P10" s="476" t="s">
        <v>299</v>
      </c>
      <c r="Q10" s="599">
        <v>3</v>
      </c>
      <c r="R10" s="148" t="s">
        <v>292</v>
      </c>
    </row>
    <row r="11" spans="2:18" ht="18" customHeight="1">
      <c r="B11" s="489" t="str">
        <f t="shared" ref="B11" si="1">P13</f>
        <v xml:space="preserve">    Education Specialist</v>
      </c>
      <c r="C11" s="490"/>
      <c r="D11" s="491">
        <f>Q13</f>
        <v>0.5</v>
      </c>
      <c r="E11" s="492">
        <v>0.25</v>
      </c>
      <c r="F11" s="493">
        <f>E11*D11</f>
        <v>0.125</v>
      </c>
      <c r="G11" s="466"/>
      <c r="H11" s="484" t="s">
        <v>322</v>
      </c>
      <c r="I11" s="485"/>
      <c r="J11" s="504">
        <v>2.7799999999999998E-2</v>
      </c>
      <c r="K11" s="474"/>
      <c r="L11" s="512">
        <f>L10*J11</f>
        <v>23728.940199999997</v>
      </c>
      <c r="M11" s="460"/>
      <c r="P11" s="476" t="s">
        <v>300</v>
      </c>
      <c r="Q11" s="599">
        <v>2</v>
      </c>
      <c r="R11" s="148" t="s">
        <v>292</v>
      </c>
    </row>
    <row r="12" spans="2:18" ht="18" customHeight="1">
      <c r="B12" s="484" t="e">
        <f>#REF!</f>
        <v>#REF!</v>
      </c>
      <c r="C12" s="485"/>
      <c r="D12" s="486" t="e">
        <f>#REF!</f>
        <v>#REF!</v>
      </c>
      <c r="E12" s="487">
        <v>1.2</v>
      </c>
      <c r="F12" s="488" t="e">
        <f t="shared" si="0"/>
        <v>#REF!</v>
      </c>
      <c r="G12" s="466"/>
      <c r="H12" s="484" t="s">
        <v>277</v>
      </c>
      <c r="I12" s="485"/>
      <c r="J12" s="504">
        <f>Q17</f>
        <v>0.25390000000000001</v>
      </c>
      <c r="K12" s="485"/>
      <c r="L12" s="488">
        <f>(L10+L11)*J12</f>
        <v>222743.40801678001</v>
      </c>
      <c r="M12" s="460"/>
      <c r="P12" s="476" t="s">
        <v>302</v>
      </c>
      <c r="Q12" s="599">
        <v>1</v>
      </c>
      <c r="R12" s="148" t="s">
        <v>303</v>
      </c>
    </row>
    <row r="13" spans="2:18" ht="18" customHeight="1">
      <c r="B13" s="484" t="e">
        <f>#REF!</f>
        <v>#REF!</v>
      </c>
      <c r="C13" s="485"/>
      <c r="D13" s="486" t="e">
        <f>#REF!</f>
        <v>#REF!</v>
      </c>
      <c r="E13" s="487">
        <v>0.5</v>
      </c>
      <c r="F13" s="488" t="e">
        <f t="shared" si="0"/>
        <v>#REF!</v>
      </c>
      <c r="G13" s="466"/>
      <c r="H13" s="506" t="s">
        <v>279</v>
      </c>
      <c r="I13" s="507"/>
      <c r="J13" s="507"/>
      <c r="K13" s="508"/>
      <c r="L13" s="509">
        <f>(L12+L11+L10)</f>
        <v>1100031.34821678</v>
      </c>
      <c r="M13" s="460"/>
      <c r="P13" s="476" t="s">
        <v>304</v>
      </c>
      <c r="Q13" s="600">
        <v>0.5</v>
      </c>
      <c r="R13" s="602" t="s">
        <v>305</v>
      </c>
    </row>
    <row r="14" spans="2:18" ht="18" customHeight="1">
      <c r="B14" s="484" t="e">
        <f>#REF!</f>
        <v>#REF!</v>
      </c>
      <c r="C14" s="485"/>
      <c r="D14" s="486">
        <f>Q14</f>
        <v>1</v>
      </c>
      <c r="E14" s="487">
        <v>0.5</v>
      </c>
      <c r="F14" s="488">
        <f>E14*D14</f>
        <v>0.5</v>
      </c>
      <c r="G14" s="466"/>
      <c r="H14" s="484" t="s">
        <v>314</v>
      </c>
      <c r="I14" s="485"/>
      <c r="J14" s="485"/>
      <c r="K14" s="513">
        <f>Q19+2406.55</f>
        <v>4691.55</v>
      </c>
      <c r="L14" s="512">
        <f>K14*I4</f>
        <v>93831</v>
      </c>
      <c r="M14" s="460"/>
      <c r="P14" s="476" t="s">
        <v>306</v>
      </c>
      <c r="Q14" s="599">
        <v>1</v>
      </c>
      <c r="R14" s="148" t="s">
        <v>307</v>
      </c>
    </row>
    <row r="15" spans="2:18" ht="18" customHeight="1" thickBot="1">
      <c r="B15" s="484" t="str">
        <f>P14</f>
        <v xml:space="preserve">    Young Adult Peer Mentor </v>
      </c>
      <c r="C15" s="485"/>
      <c r="D15" s="486">
        <f>Q14</f>
        <v>1</v>
      </c>
      <c r="E15" s="487">
        <v>0.25</v>
      </c>
      <c r="F15" s="488">
        <f t="shared" si="0"/>
        <v>0.25</v>
      </c>
      <c r="G15" s="466"/>
      <c r="H15" s="506" t="s">
        <v>284</v>
      </c>
      <c r="I15" s="507"/>
      <c r="J15" s="507"/>
      <c r="K15" s="507"/>
      <c r="L15" s="509">
        <f>SUM(L13:L14)</f>
        <v>1193862.34821678</v>
      </c>
      <c r="M15" s="460"/>
      <c r="P15" s="476" t="s">
        <v>308</v>
      </c>
      <c r="Q15" s="599">
        <v>0.5</v>
      </c>
      <c r="R15" s="148" t="s">
        <v>292</v>
      </c>
    </row>
    <row r="16" spans="2:18" ht="18" customHeight="1" thickBot="1">
      <c r="B16" s="484" t="e">
        <f>#REF!</f>
        <v>#REF!</v>
      </c>
      <c r="C16" s="485"/>
      <c r="D16" s="486" t="e">
        <f>#REF!</f>
        <v>#REF!</v>
      </c>
      <c r="E16" s="487">
        <v>0.25</v>
      </c>
      <c r="F16" s="488" t="e">
        <f t="shared" si="0"/>
        <v>#REF!</v>
      </c>
      <c r="G16" s="466"/>
      <c r="H16" s="484" t="s">
        <v>285</v>
      </c>
      <c r="I16" s="485"/>
      <c r="J16" s="504">
        <f>$Q$20</f>
        <v>0.12</v>
      </c>
      <c r="K16" s="485"/>
      <c r="L16" s="488">
        <f>(L10+L12+L14)*J16</f>
        <v>140416.00896201358</v>
      </c>
      <c r="M16" s="460"/>
      <c r="P16" s="657" t="s">
        <v>310</v>
      </c>
      <c r="Q16" s="658"/>
      <c r="R16" s="659"/>
    </row>
    <row r="17" spans="2:18" ht="21.95" customHeight="1" thickBot="1">
      <c r="B17" s="494" t="str">
        <f>P15</f>
        <v xml:space="preserve">    Support Staff / Prg Assistant</v>
      </c>
      <c r="C17" s="495"/>
      <c r="D17" s="496">
        <f>Q15</f>
        <v>0.5</v>
      </c>
      <c r="E17" s="497">
        <v>0.125</v>
      </c>
      <c r="F17" s="488">
        <f t="shared" si="0"/>
        <v>6.25E-2</v>
      </c>
      <c r="G17" s="466"/>
      <c r="H17" s="484" t="s">
        <v>251</v>
      </c>
      <c r="I17" s="485"/>
      <c r="J17" s="504">
        <v>2.7799999999999998E-2</v>
      </c>
      <c r="K17" s="485"/>
      <c r="L17" s="488">
        <f>L14*J17</f>
        <v>2608.5018</v>
      </c>
      <c r="M17" s="460"/>
      <c r="P17" s="476" t="s">
        <v>277</v>
      </c>
      <c r="Q17" s="505">
        <f>'[19]M2021 BLS SALARY CHART (53_PCT)'!C38</f>
        <v>0.25390000000000001</v>
      </c>
      <c r="R17" s="471" t="s">
        <v>311</v>
      </c>
    </row>
    <row r="18" spans="2:18" ht="23.1" customHeight="1" thickBot="1">
      <c r="B18" s="498" t="s">
        <v>235</v>
      </c>
      <c r="C18" s="499"/>
      <c r="D18" s="499"/>
      <c r="E18" s="500">
        <f>SUM(E7:E17)</f>
        <v>3.8250000000000002</v>
      </c>
      <c r="F18" s="501" t="e">
        <f>SUM(F7:F17)</f>
        <v>#REF!</v>
      </c>
      <c r="G18" s="466"/>
      <c r="H18" s="520" t="s">
        <v>286</v>
      </c>
      <c r="I18" s="521"/>
      <c r="J18" s="521"/>
      <c r="K18" s="521"/>
      <c r="L18" s="522">
        <f>SUM(L15:L17)</f>
        <v>1336886.8589787935</v>
      </c>
      <c r="M18" s="460"/>
      <c r="P18" s="476" t="s">
        <v>312</v>
      </c>
      <c r="Q18" s="510">
        <v>25.67</v>
      </c>
      <c r="R18" s="471" t="s">
        <v>313</v>
      </c>
    </row>
    <row r="19" spans="2:18" ht="18" customHeight="1" thickBot="1">
      <c r="B19" s="472" t="s">
        <v>309</v>
      </c>
      <c r="C19" s="485"/>
      <c r="D19" s="485"/>
      <c r="E19" s="474"/>
      <c r="F19" s="503"/>
      <c r="G19" s="466"/>
      <c r="H19" s="523" t="s">
        <v>317</v>
      </c>
      <c r="I19" s="524"/>
      <c r="J19" s="525"/>
      <c r="K19" s="526"/>
      <c r="L19" s="527">
        <f>L18/L4-0.09</f>
        <v>183.04518616147857</v>
      </c>
      <c r="M19" s="460"/>
      <c r="P19" s="476" t="s">
        <v>315</v>
      </c>
      <c r="Q19" s="510">
        <f>1873+412</f>
        <v>2285</v>
      </c>
      <c r="R19" s="471" t="s">
        <v>313</v>
      </c>
    </row>
    <row r="20" spans="2:18" ht="24.95" customHeight="1" thickBot="1">
      <c r="B20" s="484" t="s">
        <v>277</v>
      </c>
      <c r="C20" s="485"/>
      <c r="D20" s="504">
        <f>Q17</f>
        <v>0.25390000000000001</v>
      </c>
      <c r="E20" s="485"/>
      <c r="F20" s="488" t="e">
        <f>F18*D20</f>
        <v>#REF!</v>
      </c>
      <c r="G20" s="466"/>
      <c r="H20" s="523" t="s">
        <v>318</v>
      </c>
      <c r="I20" s="528"/>
      <c r="J20" s="529">
        <v>0.9</v>
      </c>
      <c r="K20" s="526"/>
      <c r="L20" s="530">
        <f>L19/J20</f>
        <v>203.38354017942063</v>
      </c>
      <c r="M20" s="460"/>
      <c r="P20" s="514" t="s">
        <v>285</v>
      </c>
      <c r="Q20" s="515">
        <v>0.12</v>
      </c>
      <c r="R20" s="516" t="s">
        <v>206</v>
      </c>
    </row>
    <row r="21" spans="2:18" ht="18" customHeight="1">
      <c r="B21" s="506" t="s">
        <v>279</v>
      </c>
      <c r="C21" s="507"/>
      <c r="D21" s="507"/>
      <c r="E21" s="508"/>
      <c r="F21" s="509" t="e">
        <f>F20+F18</f>
        <v>#REF!</v>
      </c>
      <c r="G21" s="466"/>
      <c r="L21" s="459"/>
      <c r="M21" s="460"/>
      <c r="P21"/>
      <c r="Q21"/>
    </row>
    <row r="22" spans="2:18" ht="18" customHeight="1">
      <c r="B22" s="484" t="s">
        <v>312</v>
      </c>
      <c r="C22" s="511"/>
      <c r="D22" s="485"/>
      <c r="E22" s="511">
        <f>Q18</f>
        <v>25.67</v>
      </c>
      <c r="F22" s="512">
        <f>E22*E18*150</f>
        <v>14728.1625</v>
      </c>
      <c r="G22" s="466"/>
      <c r="K22" s="538"/>
      <c r="L22" s="539"/>
      <c r="M22" s="460"/>
      <c r="P22"/>
      <c r="Q22"/>
    </row>
    <row r="23" spans="2:18" ht="18" customHeight="1">
      <c r="B23" s="484" t="s">
        <v>316</v>
      </c>
      <c r="C23" s="485"/>
      <c r="D23" s="485"/>
      <c r="E23" s="513">
        <f>$Q$19</f>
        <v>2285</v>
      </c>
      <c r="F23" s="512">
        <f>E23*C4</f>
        <v>13710</v>
      </c>
      <c r="G23" s="466"/>
      <c r="L23" s="538"/>
      <c r="M23" s="460"/>
      <c r="P23"/>
      <c r="Q23"/>
    </row>
    <row r="24" spans="2:18" ht="18" customHeight="1">
      <c r="B24" s="506" t="s">
        <v>284</v>
      </c>
      <c r="C24" s="507"/>
      <c r="D24" s="507"/>
      <c r="E24" s="507"/>
      <c r="F24" s="509" t="e">
        <f>SUM(F21:F23)</f>
        <v>#REF!</v>
      </c>
      <c r="G24" s="466"/>
      <c r="J24" s="540"/>
      <c r="L24" s="538"/>
      <c r="M24" s="517"/>
      <c r="P24"/>
      <c r="Q24"/>
    </row>
    <row r="25" spans="2:18" ht="18" customHeight="1">
      <c r="B25" s="484" t="s">
        <v>285</v>
      </c>
      <c r="C25" s="485"/>
      <c r="D25" s="504">
        <f>$Q$20</f>
        <v>0.12</v>
      </c>
      <c r="E25" s="485"/>
      <c r="F25" s="488" t="e">
        <f>D25*F24</f>
        <v>#REF!</v>
      </c>
      <c r="G25" s="466"/>
      <c r="I25" s="538"/>
      <c r="J25" s="540"/>
      <c r="M25" s="519"/>
      <c r="P25" s="531"/>
      <c r="Q25"/>
    </row>
    <row r="26" spans="2:18" ht="18" customHeight="1">
      <c r="B26" s="484"/>
      <c r="C26" s="485"/>
      <c r="D26" s="504"/>
      <c r="E26" s="485"/>
      <c r="F26" s="488"/>
      <c r="G26" s="466"/>
      <c r="I26" s="538"/>
      <c r="M26" s="519"/>
      <c r="P26"/>
      <c r="Q26"/>
    </row>
    <row r="27" spans="2:18" ht="18" customHeight="1" thickBot="1">
      <c r="B27" s="520" t="s">
        <v>286</v>
      </c>
      <c r="C27" s="521"/>
      <c r="D27" s="521"/>
      <c r="E27" s="521"/>
      <c r="F27" s="522" t="e">
        <f>SUM(F24:F25)</f>
        <v>#REF!</v>
      </c>
      <c r="G27" s="466"/>
      <c r="M27" s="460"/>
      <c r="P27"/>
      <c r="Q27"/>
    </row>
    <row r="28" spans="2:18" ht="18" customHeight="1" thickTop="1" thickBot="1">
      <c r="B28" s="523" t="s">
        <v>317</v>
      </c>
      <c r="C28" s="524"/>
      <c r="D28" s="525"/>
      <c r="E28" s="526"/>
      <c r="F28" s="527" t="e">
        <f>F27/F4</f>
        <v>#REF!</v>
      </c>
      <c r="G28" s="466"/>
      <c r="M28" s="460"/>
      <c r="P28"/>
      <c r="Q28"/>
    </row>
    <row r="29" spans="2:18" ht="21.6" customHeight="1" thickBot="1">
      <c r="B29" s="523" t="s">
        <v>318</v>
      </c>
      <c r="C29" s="528"/>
      <c r="D29" s="529">
        <v>0.9</v>
      </c>
      <c r="E29" s="526"/>
      <c r="F29" s="527" t="e">
        <f>F28/D29</f>
        <v>#REF!</v>
      </c>
      <c r="G29" s="466"/>
      <c r="M29" s="535"/>
      <c r="P29"/>
      <c r="Q29"/>
    </row>
    <row r="30" spans="2:18" ht="18" customHeight="1" thickBot="1">
      <c r="B30" s="532" t="s">
        <v>319</v>
      </c>
      <c r="C30" s="533"/>
      <c r="D30" s="533"/>
      <c r="E30" s="534"/>
      <c r="F30" s="536" t="e">
        <f>F27/C5</f>
        <v>#REF!</v>
      </c>
      <c r="G30" s="466"/>
      <c r="M30" s="519"/>
      <c r="P30"/>
      <c r="Q30"/>
    </row>
    <row r="31" spans="2:18" ht="18" customHeight="1">
      <c r="F31" s="459"/>
      <c r="G31" s="537"/>
      <c r="M31" s="519"/>
      <c r="P31"/>
      <c r="Q31"/>
    </row>
    <row r="32" spans="2:18" ht="18" customHeight="1">
      <c r="F32" s="539"/>
      <c r="M32" s="519"/>
      <c r="P32"/>
      <c r="Q32"/>
    </row>
    <row r="33" spans="5:17" ht="18" customHeight="1">
      <c r="E33" s="538"/>
      <c r="M33" s="460"/>
      <c r="P33"/>
      <c r="Q33"/>
    </row>
    <row r="34" spans="5:17" ht="18" customHeight="1">
      <c r="F34" s="541"/>
      <c r="G34" s="542"/>
      <c r="M34" s="460"/>
      <c r="P34"/>
      <c r="Q34"/>
    </row>
    <row r="35" spans="5:17" ht="18" customHeight="1">
      <c r="F35" s="538"/>
      <c r="M35" s="519"/>
      <c r="P35"/>
      <c r="Q35"/>
    </row>
    <row r="36" spans="5:17" ht="18" customHeight="1">
      <c r="F36" s="538"/>
      <c r="M36" s="519"/>
      <c r="P36"/>
      <c r="Q36"/>
    </row>
    <row r="37" spans="5:17" ht="18" customHeight="1">
      <c r="M37" s="519"/>
      <c r="P37"/>
      <c r="Q37"/>
    </row>
    <row r="38" spans="5:17" ht="18" customHeight="1">
      <c r="M38" s="460"/>
      <c r="P38"/>
      <c r="Q38"/>
    </row>
    <row r="39" spans="5:17" ht="18" customHeight="1">
      <c r="M39" s="460"/>
      <c r="P39"/>
      <c r="Q39"/>
    </row>
    <row r="40" spans="5:17" ht="18" customHeight="1">
      <c r="M40" s="543"/>
      <c r="P40"/>
      <c r="Q40"/>
    </row>
    <row r="41" spans="5:17" ht="18" customHeight="1">
      <c r="M41" s="544"/>
      <c r="P41"/>
      <c r="Q41"/>
    </row>
    <row r="42" spans="5:17" ht="18" customHeight="1">
      <c r="M42" s="545"/>
      <c r="P42"/>
      <c r="Q42"/>
    </row>
    <row r="43" spans="5:17" ht="18" customHeight="1">
      <c r="M43" s="545"/>
      <c r="P43"/>
      <c r="Q43"/>
    </row>
    <row r="44" spans="5:17" ht="18" customHeight="1">
      <c r="M44" s="459"/>
      <c r="N44" s="459"/>
      <c r="P44"/>
      <c r="Q44"/>
    </row>
    <row r="45" spans="5:17" ht="18" customHeight="1">
      <c r="M45" s="546"/>
      <c r="N45" s="547"/>
      <c r="P45"/>
      <c r="Q45"/>
    </row>
    <row r="46" spans="5:17" ht="18" customHeight="1">
      <c r="P46"/>
      <c r="Q46"/>
    </row>
    <row r="47" spans="5:17" ht="18" customHeight="1">
      <c r="P47"/>
      <c r="Q47"/>
    </row>
    <row r="48" spans="5:17" ht="18" customHeight="1">
      <c r="M48" s="540"/>
      <c r="P48"/>
      <c r="Q48"/>
    </row>
    <row r="49" spans="13:17" ht="18" customHeight="1">
      <c r="P49"/>
      <c r="Q49"/>
    </row>
    <row r="50" spans="13:17" ht="18" customHeight="1">
      <c r="P50"/>
      <c r="Q50"/>
    </row>
    <row r="51" spans="13:17" ht="18" customHeight="1">
      <c r="M51" s="548"/>
      <c r="P51"/>
      <c r="Q51"/>
    </row>
    <row r="52" spans="13:17" ht="18" customHeight="1">
      <c r="P52"/>
      <c r="Q52"/>
    </row>
    <row r="53" spans="13:17" ht="18" customHeight="1">
      <c r="P53"/>
      <c r="Q53"/>
    </row>
    <row r="54" spans="13:17" ht="18" customHeight="1">
      <c r="P54"/>
      <c r="Q54"/>
    </row>
    <row r="55" spans="13:17" ht="18" customHeight="1">
      <c r="P55"/>
      <c r="Q55"/>
    </row>
    <row r="56" spans="13:17" ht="18" customHeight="1">
      <c r="P56"/>
      <c r="Q56"/>
    </row>
    <row r="57" spans="13:17" ht="18" customHeight="1">
      <c r="P57"/>
      <c r="Q57"/>
    </row>
    <row r="58" spans="13:17" ht="18" customHeight="1">
      <c r="P58"/>
      <c r="Q58"/>
    </row>
    <row r="59" spans="13:17" ht="18" customHeight="1">
      <c r="P59"/>
      <c r="Q59"/>
    </row>
    <row r="60" spans="13:17" ht="18" customHeight="1">
      <c r="P60"/>
      <c r="Q60"/>
    </row>
    <row r="61" spans="13:17" ht="18" customHeight="1">
      <c r="P61"/>
      <c r="Q61"/>
    </row>
    <row r="62" spans="13:17" ht="18" customHeight="1">
      <c r="P62"/>
      <c r="Q62"/>
    </row>
    <row r="63" spans="13:17" ht="18" customHeight="1">
      <c r="P63"/>
      <c r="Q63"/>
    </row>
    <row r="64" spans="13:17" ht="18" customHeight="1">
      <c r="P64"/>
      <c r="Q64"/>
    </row>
    <row r="65" spans="16:17" ht="18" customHeight="1">
      <c r="P65"/>
      <c r="Q65"/>
    </row>
    <row r="66" spans="16:17" ht="18" customHeight="1">
      <c r="P66"/>
      <c r="Q66"/>
    </row>
    <row r="67" spans="16:17" ht="18" customHeight="1">
      <c r="P67"/>
      <c r="Q67"/>
    </row>
    <row r="68" spans="16:17" ht="18" customHeight="1">
      <c r="P68"/>
      <c r="Q68"/>
    </row>
    <row r="69" spans="16:17" ht="18" customHeight="1">
      <c r="P69"/>
      <c r="Q69"/>
    </row>
    <row r="70" spans="16:17" ht="18" customHeight="1">
      <c r="P70"/>
      <c r="Q70"/>
    </row>
    <row r="71" spans="16:17" ht="18" customHeight="1">
      <c r="P71"/>
      <c r="Q71"/>
    </row>
    <row r="72" spans="16:17" ht="18" customHeight="1">
      <c r="P72"/>
      <c r="Q72"/>
    </row>
    <row r="73" spans="16:17" ht="18" customHeight="1">
      <c r="P73"/>
      <c r="Q73"/>
    </row>
    <row r="74" spans="16:17" ht="18" customHeight="1">
      <c r="P74"/>
      <c r="Q74"/>
    </row>
    <row r="75" spans="16:17" ht="18" customHeight="1">
      <c r="P75"/>
      <c r="Q75"/>
    </row>
    <row r="76" spans="16:17" ht="18" customHeight="1">
      <c r="P76"/>
      <c r="Q76"/>
    </row>
  </sheetData>
  <mergeCells count="4">
    <mergeCell ref="P16:R16"/>
    <mergeCell ref="P2:R2"/>
    <mergeCell ref="B3:F3"/>
    <mergeCell ref="H3:L3"/>
  </mergeCells>
  <pageMargins left="0.25" right="0.25" top="0.25" bottom="0.25" header="0.05" footer="0.05"/>
  <pageSetup paperSize="5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CAF FALL 2022</vt:lpstr>
      <vt:lpstr>M2021 BLS SALARY CHART (53_PCT)</vt:lpstr>
      <vt:lpstr>PACT 50 Rate Budget</vt:lpstr>
      <vt:lpstr>PACT 80 Rate Budget</vt:lpstr>
      <vt:lpstr>Forensic PACT Rate Budget</vt:lpstr>
      <vt:lpstr>Forensic GLE Budget</vt:lpstr>
      <vt:lpstr>PACT Youth</vt:lpstr>
      <vt:lpstr>'Forensic GLE Budget'!Print_Area</vt:lpstr>
      <vt:lpstr>'M2021 BLS SALARY CHART (53_PCT)'!Print_Area</vt:lpstr>
      <vt:lpstr>'PACT 50 Rate Budget'!Print_Area</vt:lpstr>
      <vt:lpstr>'PACT 80 Rate Budget'!Print_Area</vt:lpstr>
      <vt:lpstr>'CAF FALL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2023-02-03T13:07:25Z</dcterms:created>
  <dcterms:modified xsi:type="dcterms:W3CDTF">2023-04-27T18:59:20Z</dcterms:modified>
</cp:coreProperties>
</file>