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deborah_harrison_mass_gov/Documents/Documents/Agencies/EHS/Kara/"/>
    </mc:Choice>
  </mc:AlternateContent>
  <xr:revisionPtr revIDLastSave="0" documentId="8_{2D3691E8-7811-49D9-B244-A8CE72891AF8}" xr6:coauthVersionLast="47" xr6:coauthVersionMax="47" xr10:uidLastSave="{00000000-0000-0000-0000-000000000000}"/>
  <bookViews>
    <workbookView xWindow="3435" yWindow="3990" windowWidth="17340" windowHeight="10995" tabRatio="766" activeTab="5" xr2:uid="{8F8468E0-565B-434E-A6BC-391674402696}"/>
  </bookViews>
  <sheets>
    <sheet name="CAF FALL 2022" sheetId="1" r:id="rId1"/>
    <sheet name="M2021 BLS SALARY CHART (53_PCT)" sheetId="2" r:id="rId2"/>
    <sheet name="Models A B C Budget" sheetId="3" r:id="rId3"/>
    <sheet name="Site Only Model Budget " sheetId="4" r:id="rId4"/>
    <sheet name="Peer Model Budget" sheetId="5" r:id="rId5"/>
    <sheet name="Mobile Only Model Budget 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Key1" hidden="1">#REF!</definedName>
    <definedName name="_Sort" hidden="1">#REF!</definedName>
    <definedName name="alldata" localSheetId="0">#REF!</definedName>
    <definedName name="alldata" localSheetId="1">#REF!</definedName>
    <definedName name="alldata">#REF!</definedName>
    <definedName name="alled" localSheetId="0">#REF!</definedName>
    <definedName name="alled" localSheetId="1">#REF!</definedName>
    <definedName name="alled">#REF!</definedName>
    <definedName name="allstem" localSheetId="0">#REF!</definedName>
    <definedName name="allstem" localSheetId="1">#REF!</definedName>
    <definedName name="allstem">#REF!</definedName>
    <definedName name="Area">[1]Sheet2!$A$2:$A$28</definedName>
    <definedName name="ARENEW">[2]amendA!$B$1:$U$51</definedName>
    <definedName name="asdfasd" localSheetId="0">'[3]Complete UFR List'!#REF!</definedName>
    <definedName name="asdfasd">'[3]Complete UFR List'!#REF!</definedName>
    <definedName name="asdfasdf" localSheetId="0">#REF!</definedName>
    <definedName name="asdfasdf">#REF!</definedName>
    <definedName name="ATTABOY">[2]amendA!$B$2:$S$2</definedName>
    <definedName name="AutoInsurance">[4]Universal!$C$19</definedName>
    <definedName name="autsupp2">#REF!</definedName>
    <definedName name="Average" localSheetId="0">#REF!</definedName>
    <definedName name="Average">#REF!</definedName>
    <definedName name="BB6_4">#REF!</definedName>
    <definedName name="CAF_NEW" localSheetId="0">[5]RawDataCalcs!$L$70:$DB$70</definedName>
    <definedName name="CAF_NEW">[5]RawDataCalcs!$L$70:$DB$70</definedName>
    <definedName name="Cap" localSheetId="0">[6]RawDataCalcs!$L$70:$DB$70</definedName>
    <definedName name="Cap" localSheetId="1">[7]RawDataCalcs!$L$35:$DB$35</definedName>
    <definedName name="Cap">[8]RawDataCalcs!$L$13:$DB$13</definedName>
    <definedName name="capa">[9]RawDataCalcs!$L$17:$DB$17</definedName>
    <definedName name="COLA">[4]Universal!$C$12</definedName>
    <definedName name="Data" localSheetId="0">#REF!</definedName>
    <definedName name="Data">#REF!</definedName>
    <definedName name="Electricity">[4]Universal!$C$21</definedName>
    <definedName name="Fisc">'[3]Complete UFR List'!#REF!</definedName>
    <definedName name="FiveDay">[4]Universal!$C$17</definedName>
    <definedName name="Floor" localSheetId="0">[6]RawDataCalcs!$L$69:$DB$69</definedName>
    <definedName name="Floor" localSheetId="1">[7]RawDataCalcs!$L$34:$DB$34</definedName>
    <definedName name="Floor">[8]RawDataCalcs!$L$12:$DB$12</definedName>
    <definedName name="Fringe">[4]Universal!$C$8</definedName>
    <definedName name="FROM">[2]amendA!$G$7</definedName>
    <definedName name="Funds" localSheetId="0">'[10]RawDataCalcs3386&amp;3401'!$L$68:$DB$68</definedName>
    <definedName name="Funds">'[10]RawDataCalcs3386&amp;3401'!$L$68:$DB$68</definedName>
    <definedName name="GA">[4]Universal!$C$13</definedName>
    <definedName name="Gas">[4]Universal!$C$22</definedName>
    <definedName name="gk" localSheetId="0">#REF!</definedName>
    <definedName name="gk" localSheetId="5">#REF!</definedName>
    <definedName name="gk" localSheetId="2">#REF!</definedName>
    <definedName name="gk" localSheetId="4">#REF!</definedName>
    <definedName name="gk" localSheetId="3">#REF!</definedName>
    <definedName name="gk">#REF!</definedName>
    <definedName name="hhh" localSheetId="0">#REF!</definedName>
    <definedName name="hhh">#REF!</definedName>
    <definedName name="Holidays">[4]Universal!$C$49:$C$59</definedName>
    <definedName name="JailDAverage" localSheetId="0">#REF!</definedName>
    <definedName name="JailDAverage">#REF!</definedName>
    <definedName name="JailDCap" localSheetId="0">[11]ALLRawDataCalcs!$L$80:$DB$80</definedName>
    <definedName name="JailDCap">[11]ALLRawDataCalcs!$L$80:$DB$80</definedName>
    <definedName name="JailDFloor" localSheetId="0">[11]ALLRawDataCalcs!$L$79:$DB$79</definedName>
    <definedName name="JailDFloor">[11]ALLRawDataCalcs!$L$79:$DB$79</definedName>
    <definedName name="JailDgk" localSheetId="0">#REF!</definedName>
    <definedName name="JailDgk">#REF!</definedName>
    <definedName name="JailDMax" localSheetId="0">#REF!</definedName>
    <definedName name="JailDMax">#REF!</definedName>
    <definedName name="JailDMedian" localSheetId="0">#REF!</definedName>
    <definedName name="JailDMedian">#REF!</definedName>
    <definedName name="jm" localSheetId="0">'[3]Complete UFR List'!#REF!</definedName>
    <definedName name="jm">'[3]Complete UFR List'!#REF!</definedName>
    <definedName name="kls" localSheetId="0">#REF!</definedName>
    <definedName name="kls">#REF!</definedName>
    <definedName name="ListProviders">'[12]List of Programs'!$A$24:$A$29</definedName>
    <definedName name="Max" localSheetId="0">#REF!</definedName>
    <definedName name="Max">#REF!</definedName>
    <definedName name="Median" localSheetId="0">#REF!</definedName>
    <definedName name="Median">#REF!</definedName>
    <definedName name="Min" localSheetId="0">#REF!</definedName>
    <definedName name="Min">#REF!</definedName>
    <definedName name="mr" localSheetId="0">#REF!</definedName>
    <definedName name="mr">#REF!</definedName>
    <definedName name="MT" localSheetId="0">#REF!</definedName>
    <definedName name="MT">#REF!</definedName>
    <definedName name="new" localSheetId="0">#REF!</definedName>
    <definedName name="new">#REF!</definedName>
    <definedName name="Oil">[4]Universal!$C$23</definedName>
    <definedName name="ok" localSheetId="0">#REF!</definedName>
    <definedName name="ok">#REF!</definedName>
    <definedName name="Paydays">[4]Universal!$C$33:$N$33</definedName>
    <definedName name="Phone">[4]Universal!$C$25</definedName>
    <definedName name="_xlnm.Print_Area" localSheetId="1">'M2021 BLS SALARY CHART (53_PCT)'!$B$1:$E$46</definedName>
    <definedName name="_xlnm.Print_Area" localSheetId="5">'Mobile Only Model Budget '!$A$1:$I$27</definedName>
    <definedName name="_xlnm.Print_Area" localSheetId="2">'Models A B C Budget'!$A$1:$AB$39</definedName>
    <definedName name="_xlnm.Print_Area" localSheetId="4">'Peer Model Budget'!$B$1:$M$36</definedName>
    <definedName name="_xlnm.Print_Area" localSheetId="3">'Site Only Model Budget '!$B$1:$I$31</definedName>
    <definedName name="_xlnm.Print_Titles" localSheetId="0">'CAF FALL 2022'!$A:$A</definedName>
    <definedName name="Program_File" localSheetId="0">#REF!</definedName>
    <definedName name="Program_File">#REF!</definedName>
    <definedName name="Programs">'[12]List of Programs'!$B$3:$B$19</definedName>
    <definedName name="PropInsurance">[4]Universal!$C$20</definedName>
    <definedName name="ProvFTE">'[13]FTE Data'!$A$3:$AW$56</definedName>
    <definedName name="PTO_Hours">[4]Universal!$F$72:$F$78</definedName>
    <definedName name="PTO_Years">[4]Universal!$B$72:$B$78</definedName>
    <definedName name="PurchasedBy">'[13]FTE Data'!$C$263:$AZ$657</definedName>
    <definedName name="REGION">[1]Sheet2!$B$1:$B$5</definedName>
    <definedName name="Relief">[4]Universal!$C$14</definedName>
    <definedName name="resmay2007" localSheetId="0">#REF!</definedName>
    <definedName name="resmay2007">#REF!</definedName>
    <definedName name="SevenDay">[4]Universal!$C$18</definedName>
    <definedName name="sheet1" localSheetId="0">#REF!</definedName>
    <definedName name="sheet1" localSheetId="1">#REF!</definedName>
    <definedName name="sheet1">#REF!</definedName>
    <definedName name="Site_list">[13]Lists!$A$2:$A$53</definedName>
    <definedName name="Source" localSheetId="0">#REF!</definedName>
    <definedName name="Source">#REF!</definedName>
    <definedName name="Source_2" localSheetId="0">#REF!</definedName>
    <definedName name="Source_2" localSheetId="5">#REF!</definedName>
    <definedName name="Source_2" localSheetId="2">#REF!</definedName>
    <definedName name="Source_2" localSheetId="4">#REF!</definedName>
    <definedName name="Source_2" localSheetId="3">#REF!</definedName>
    <definedName name="Source_2">#REF!</definedName>
    <definedName name="SourcePathAndFileName" localSheetId="0">#REF!</definedName>
    <definedName name="SourcePathAndFileName">#REF!</definedName>
    <definedName name="StaffApp">[4]Universal!$C$11</definedName>
    <definedName name="Tax">[4]Universal!$C$7</definedName>
    <definedName name="TO">[2]amendA!$K$7:$O$7</definedName>
    <definedName name="Total_UFR" localSheetId="0">#REF!</definedName>
    <definedName name="Total_UFR" localSheetId="5">#REF!</definedName>
    <definedName name="Total_UFR" localSheetId="2">#REF!</definedName>
    <definedName name="Total_UFR" localSheetId="4">#REF!</definedName>
    <definedName name="Total_UFR" localSheetId="3">#REF!</definedName>
    <definedName name="Total_UFR">#REF!</definedName>
    <definedName name="Total_UFRs" localSheetId="0">#REF!</definedName>
    <definedName name="Total_UFRs" localSheetId="5">#REF!</definedName>
    <definedName name="Total_UFRs" localSheetId="2">#REF!</definedName>
    <definedName name="Total_UFRs" localSheetId="4">#REF!</definedName>
    <definedName name="Total_UFRs" localSheetId="3">#REF!</definedName>
    <definedName name="Total_UFRs">#REF!</definedName>
    <definedName name="Total_UFRs_" localSheetId="0">#REF!</definedName>
    <definedName name="Total_UFRs_" localSheetId="5">#REF!</definedName>
    <definedName name="Total_UFRs_" localSheetId="2">#REF!</definedName>
    <definedName name="Total_UFRs_" localSheetId="4">#REF!</definedName>
    <definedName name="Total_UFRs_" localSheetId="3">#REF!</definedName>
    <definedName name="Total_UFRs_">#REF!</definedName>
    <definedName name="TotalDays">[4]Universal!$C$30:$N$30</definedName>
    <definedName name="UFR" localSheetId="0">'[3]Complete UFR List'!#REF!</definedName>
    <definedName name="UFR">'[3]Complete UFR List'!#REF!</definedName>
    <definedName name="UFRS">'[3]Complete UFR List'!#REF!</definedName>
    <definedName name="UPDATE">'[3]Complete UFR List'!#REF!</definedName>
    <definedName name="VacAccr">[4]Universal!$C$9</definedName>
    <definedName name="VBB">[4]Universal!$C$10</definedName>
    <definedName name="VBBDist">[4]Universal!$B$35:$N$35</definedName>
    <definedName name="VBBLines">[4]Universal!$B$85:$B$97</definedName>
    <definedName name="Wages5">[4]Universal!$C$37:$N$37</definedName>
    <definedName name="Wages7">[4]Universal!$C$38:$N$38</definedName>
    <definedName name="Water">[4]Universal!$C$24</definedName>
    <definedName name="Weekdays">[4]Universal!$C$31:$N$31</definedName>
    <definedName name="wefqwerqwe">'[3]Complete UFR List'!#REF!</definedName>
    <definedName name="yes" localSheetId="0">'[3]Complete UFR List'!#REF!</definedName>
    <definedName name="yes">'[3]Complete UFR List'!#REF!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5" l="1"/>
  <c r="E26" i="5"/>
  <c r="C17" i="6" l="1"/>
  <c r="H11" i="6" s="1"/>
  <c r="C16" i="6"/>
  <c r="H18" i="6" s="1"/>
  <c r="H15" i="6"/>
  <c r="I15" i="6" s="1"/>
  <c r="B15" i="6"/>
  <c r="F15" i="6" s="1"/>
  <c r="H14" i="6"/>
  <c r="I14" i="6" s="1"/>
  <c r="C14" i="6"/>
  <c r="H13" i="6" s="1"/>
  <c r="I13" i="6" s="1"/>
  <c r="F13" i="6"/>
  <c r="D13" i="6"/>
  <c r="B13" i="6"/>
  <c r="F14" i="6" s="1"/>
  <c r="C12" i="6"/>
  <c r="H10" i="6" s="1"/>
  <c r="C10" i="6"/>
  <c r="C9" i="6"/>
  <c r="I8" i="6"/>
  <c r="I7" i="6"/>
  <c r="C7" i="6"/>
  <c r="C8" i="6" s="1"/>
  <c r="I6" i="6"/>
  <c r="G4" i="6"/>
  <c r="I4" i="6" s="1"/>
  <c r="B3" i="6"/>
  <c r="D48" i="5"/>
  <c r="F47" i="5"/>
  <c r="H47" i="5" s="1"/>
  <c r="F46" i="5"/>
  <c r="F45" i="5"/>
  <c r="F44" i="5"/>
  <c r="F43" i="5"/>
  <c r="F42" i="5"/>
  <c r="F41" i="5"/>
  <c r="H41" i="5" s="1"/>
  <c r="F40" i="5"/>
  <c r="C39" i="5"/>
  <c r="D33" i="5"/>
  <c r="D30" i="5"/>
  <c r="C30" i="5"/>
  <c r="F25" i="5" s="1"/>
  <c r="E29" i="5"/>
  <c r="E28" i="5"/>
  <c r="E27" i="5"/>
  <c r="C17" i="5"/>
  <c r="L17" i="5" s="1"/>
  <c r="C16" i="5"/>
  <c r="L18" i="5" s="1"/>
  <c r="L15" i="5"/>
  <c r="M15" i="5" s="1"/>
  <c r="D15" i="5"/>
  <c r="B15" i="5"/>
  <c r="J15" i="5" s="1"/>
  <c r="L14" i="5"/>
  <c r="D14" i="5"/>
  <c r="B14" i="5"/>
  <c r="J14" i="5" s="1"/>
  <c r="C13" i="5"/>
  <c r="L11" i="5" s="1"/>
  <c r="M9" i="5"/>
  <c r="M8" i="5"/>
  <c r="C8" i="5"/>
  <c r="G41" i="5" s="1"/>
  <c r="C7" i="5"/>
  <c r="M6" i="5"/>
  <c r="B3" i="5"/>
  <c r="D17" i="4"/>
  <c r="C17" i="4"/>
  <c r="H16" i="4" s="1"/>
  <c r="C16" i="4"/>
  <c r="C15" i="4"/>
  <c r="H14" i="4" s="1"/>
  <c r="I14" i="4" s="1"/>
  <c r="B15" i="4"/>
  <c r="F14" i="4" s="1"/>
  <c r="D14" i="4"/>
  <c r="C14" i="4"/>
  <c r="H13" i="4" s="1"/>
  <c r="I13" i="4" s="1"/>
  <c r="B14" i="4"/>
  <c r="F13" i="4" s="1"/>
  <c r="C13" i="4"/>
  <c r="H10" i="4" s="1"/>
  <c r="I10" i="4" s="1"/>
  <c r="C11" i="4"/>
  <c r="I9" i="4"/>
  <c r="C9" i="4"/>
  <c r="C8" i="4"/>
  <c r="C7" i="4"/>
  <c r="C6" i="4"/>
  <c r="G4" i="4"/>
  <c r="I4" i="4" s="1"/>
  <c r="B3" i="4"/>
  <c r="T22" i="3"/>
  <c r="Y22" i="3" s="1"/>
  <c r="T21" i="3"/>
  <c r="Y21" i="3" s="1"/>
  <c r="Z20" i="3"/>
  <c r="P20" i="3"/>
  <c r="U20" i="3" s="1"/>
  <c r="H19" i="3"/>
  <c r="G19" i="3"/>
  <c r="T18" i="3"/>
  <c r="Y18" i="3" s="1"/>
  <c r="H18" i="3"/>
  <c r="G18" i="3"/>
  <c r="AA17" i="3"/>
  <c r="AB17" i="3" s="1"/>
  <c r="Y17" i="3"/>
  <c r="V17" i="3"/>
  <c r="W17" i="3" s="1"/>
  <c r="Q17" i="3"/>
  <c r="R17" i="3" s="1"/>
  <c r="O17" i="3"/>
  <c r="T17" i="3" s="1"/>
  <c r="H17" i="3"/>
  <c r="G17" i="3"/>
  <c r="Q16" i="3"/>
  <c r="AA16" i="3" s="1"/>
  <c r="O16" i="3"/>
  <c r="Y16" i="3" s="1"/>
  <c r="H15" i="3"/>
  <c r="G15" i="3"/>
  <c r="H14" i="3"/>
  <c r="G14" i="3"/>
  <c r="H13" i="3"/>
  <c r="G13" i="3"/>
  <c r="AB12" i="3"/>
  <c r="R12" i="3"/>
  <c r="H12" i="3"/>
  <c r="G12" i="3"/>
  <c r="W11" i="3"/>
  <c r="W12" i="3" s="1"/>
  <c r="T11" i="3"/>
  <c r="Y11" i="3" s="1"/>
  <c r="H11" i="3"/>
  <c r="G11" i="3"/>
  <c r="T10" i="3"/>
  <c r="Y10" i="3" s="1"/>
  <c r="H10" i="3"/>
  <c r="G10" i="3"/>
  <c r="T9" i="3"/>
  <c r="Y9" i="3" s="1"/>
  <c r="H9" i="3"/>
  <c r="G9" i="3"/>
  <c r="AB7" i="3"/>
  <c r="W7" i="3"/>
  <c r="R7" i="3"/>
  <c r="AB6" i="3"/>
  <c r="W6" i="3"/>
  <c r="R6" i="3"/>
  <c r="B3" i="3"/>
  <c r="D54" i="2"/>
  <c r="D53" i="2"/>
  <c r="D52" i="2"/>
  <c r="D51" i="2"/>
  <c r="C46" i="2"/>
  <c r="C38" i="2"/>
  <c r="Q13" i="3" s="1"/>
  <c r="C33" i="2"/>
  <c r="C34" i="2" s="1"/>
  <c r="C31" i="2"/>
  <c r="C32" i="2" s="1"/>
  <c r="C30" i="2"/>
  <c r="C29" i="2"/>
  <c r="C27" i="2"/>
  <c r="C28" i="2" s="1"/>
  <c r="C25" i="2"/>
  <c r="C26" i="2" s="1"/>
  <c r="C23" i="2"/>
  <c r="C24" i="2" s="1"/>
  <c r="C21" i="2"/>
  <c r="C22" i="2" s="1"/>
  <c r="C19" i="2"/>
  <c r="C20" i="2" s="1"/>
  <c r="C17" i="2"/>
  <c r="C18" i="2" s="1"/>
  <c r="C15" i="2"/>
  <c r="C16" i="2" s="1"/>
  <c r="C14" i="2"/>
  <c r="C13" i="2"/>
  <c r="C11" i="2"/>
  <c r="C12" i="2" s="1"/>
  <c r="C9" i="2"/>
  <c r="C10" i="2" s="1"/>
  <c r="C7" i="2"/>
  <c r="C8" i="2" s="1"/>
  <c r="C5" i="2"/>
  <c r="C6" i="2" s="1"/>
  <c r="C36" i="2" s="1"/>
  <c r="CG22" i="1"/>
  <c r="CF22" i="1"/>
  <c r="CE22" i="1"/>
  <c r="CD22" i="1"/>
  <c r="CC22" i="1"/>
  <c r="CI22" i="1" s="1"/>
  <c r="CI24" i="1" s="1"/>
  <c r="D26" i="3" s="1"/>
  <c r="CB22" i="1"/>
  <c r="CA22" i="1"/>
  <c r="BZ22" i="1"/>
  <c r="CG21" i="1"/>
  <c r="CF21" i="1"/>
  <c r="CE21" i="1"/>
  <c r="CD21" i="1"/>
  <c r="CC21" i="1"/>
  <c r="CB21" i="1"/>
  <c r="CA21" i="1"/>
  <c r="BZ21" i="1"/>
  <c r="CI18" i="1"/>
  <c r="BZ18" i="1"/>
  <c r="BZ17" i="1"/>
  <c r="D55" i="2" l="1"/>
  <c r="D56" i="2" s="1"/>
  <c r="D22" i="3"/>
  <c r="I9" i="6"/>
  <c r="I10" i="6" s="1"/>
  <c r="D34" i="5"/>
  <c r="D36" i="5"/>
  <c r="D50" i="5"/>
  <c r="H11" i="4"/>
  <c r="I11" i="4" s="1"/>
  <c r="I12" i="4" s="1"/>
  <c r="I15" i="4" s="1"/>
  <c r="F48" i="5"/>
  <c r="M10" i="5"/>
  <c r="M11" i="5" s="1"/>
  <c r="L12" i="5"/>
  <c r="G46" i="5"/>
  <c r="H46" i="5" s="1"/>
  <c r="I16" i="4"/>
  <c r="V13" i="3"/>
  <c r="R13" i="3"/>
  <c r="D52" i="5"/>
  <c r="D53" i="5"/>
  <c r="C10" i="4"/>
  <c r="H16" i="3"/>
  <c r="AB16" i="3" s="1"/>
  <c r="G16" i="3"/>
  <c r="G20" i="3" s="1"/>
  <c r="D16" i="3"/>
  <c r="C10" i="5"/>
  <c r="M14" i="5" s="1"/>
  <c r="M17" i="5" s="1"/>
  <c r="I11" i="6"/>
  <c r="I12" i="6" s="1"/>
  <c r="I16" i="6" s="1"/>
  <c r="P19" i="3"/>
  <c r="Q14" i="3"/>
  <c r="T16" i="3"/>
  <c r="V16" i="3"/>
  <c r="H17" i="6"/>
  <c r="I17" i="6" s="1"/>
  <c r="M12" i="5" l="1"/>
  <c r="M13" i="5" s="1"/>
  <c r="M16" i="5" s="1"/>
  <c r="M18" i="5" s="1"/>
  <c r="M19" i="5" s="1"/>
  <c r="M20" i="5" s="1"/>
  <c r="H20" i="3"/>
  <c r="I18" i="6"/>
  <c r="I19" i="6" s="1"/>
  <c r="I20" i="6" s="1"/>
  <c r="D20" i="3"/>
  <c r="R16" i="3"/>
  <c r="R19" i="3" s="1"/>
  <c r="W16" i="3"/>
  <c r="W19" i="3" s="1"/>
  <c r="I17" i="4"/>
  <c r="I18" i="4" s="1"/>
  <c r="I19" i="4" s="1"/>
  <c r="AA14" i="3"/>
  <c r="AB14" i="3" s="1"/>
  <c r="V14" i="3"/>
  <c r="R14" i="3"/>
  <c r="R15" i="3" s="1"/>
  <c r="U19" i="3"/>
  <c r="Z19" i="3"/>
  <c r="AB19" i="3" s="1"/>
  <c r="AA13" i="3"/>
  <c r="AB13" i="3" s="1"/>
  <c r="W13" i="3"/>
  <c r="W14" i="3" l="1"/>
  <c r="W15" i="3" s="1"/>
  <c r="W18" i="3" s="1"/>
  <c r="AB15" i="3"/>
  <c r="AB18" i="3" s="1"/>
  <c r="R18" i="3"/>
  <c r="AB20" i="3" l="1"/>
  <c r="AB21" i="3" s="1"/>
  <c r="AB22" i="3" s="1"/>
  <c r="R20" i="3"/>
  <c r="R21" i="3"/>
  <c r="R22" i="3" s="1"/>
  <c r="W20" i="3"/>
  <c r="W21" i="3" s="1"/>
  <c r="W2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kara</author>
  </authors>
  <commentList>
    <comment ref="Z5" authorId="0" shapeId="0" xr:uid="{3D33DF66-1B34-4A89-AD73-18DB67E2A2FA}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80% of 16 Capacity = 13 plus 80% of Mobile capacity of 40 = 32
Maximum Model Capacity = 45</t>
        </r>
      </text>
    </comment>
    <comment ref="R7" authorId="0" shapeId="0" xr:uid="{AE066683-04E6-4F9C-A858-BD68C9C946F0}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capacity x 365  days / 3  (8 hours per day)
</t>
        </r>
      </text>
    </comment>
    <comment ref="W7" authorId="0" shapeId="0" xr:uid="{29960E55-8A94-4244-99E8-9A4D228F48B6}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capacity x 365 days) / 3 (8 hours per day)</t>
        </r>
      </text>
    </comment>
    <comment ref="AB7" authorId="0" shapeId="0" xr:uid="{3F320123-344D-47DD-AB37-98BF89A17B42}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capacity x 365 days / 3 (8 hours per day)
</t>
        </r>
      </text>
    </comment>
  </commentList>
</comments>
</file>

<file path=xl/sharedStrings.xml><?xml version="1.0" encoding="utf-8"?>
<sst xmlns="http://schemas.openxmlformats.org/spreadsheetml/2006/main" count="499" uniqueCount="338">
  <si>
    <t>Massachusetts Economic Indicators</t>
  </si>
  <si>
    <t>IHS Markit, Fall 2022 Forecast</t>
  </si>
  <si>
    <t>Prepared by Michael Lynch, 781-301-9129</t>
  </si>
  <si>
    <t>FY21</t>
  </si>
  <si>
    <t>FY22</t>
  </si>
  <si>
    <t>FY23</t>
  </si>
  <si>
    <t>FY24</t>
  </si>
  <si>
    <t>FY25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</si>
  <si>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</si>
  <si>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</si>
  <si>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</si>
  <si>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</si>
  <si>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</si>
  <si>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</si>
  <si>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</si>
  <si>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</si>
  <si>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</si>
  <si>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</si>
  <si>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</si>
  <si>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</si>
  <si>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</si>
  <si>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</si>
  <si>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</si>
  <si>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</si>
  <si>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</si>
  <si>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</si>
  <si>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</si>
  <si>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</si>
  <si>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</si>
  <si>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</si>
  <si>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</si>
  <si>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</si>
  <si>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</si>
  <si>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</si>
  <si>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</si>
  <si>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</si>
  <si>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</si>
  <si>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</si>
  <si>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</si>
  <si>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</si>
  <si>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</si>
  <si>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</si>
  <si>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</si>
  <si>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</si>
  <si>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</si>
  <si>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</si>
  <si>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</si>
  <si>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</si>
  <si>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</si>
  <si>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</si>
  <si>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</si>
  <si>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</si>
  <si>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</si>
  <si>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</si>
  <si>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</si>
  <si>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</si>
  <si>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</si>
  <si>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</si>
  <si>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</si>
  <si>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</si>
  <si>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</si>
  <si>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</si>
  <si>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</si>
  <si>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</si>
  <si>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</si>
  <si>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</si>
  <si>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</si>
  <si>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</si>
  <si>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</si>
  <si>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</si>
  <si>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</si>
  <si>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</si>
  <si>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</si>
  <si>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</si>
  <si>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</si>
  <si>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</si>
  <si>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</si>
  <si>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</si>
  <si>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</si>
  <si>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</si>
  <si>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</si>
  <si>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</si>
  <si>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</si>
  <si>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</si>
  <si>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</si>
  <si>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</si>
  <si>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</si>
  <si>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</si>
  <si>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</si>
  <si>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</si>
  <si>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</si>
  <si>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</si>
  <si>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</si>
  <si>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</si>
  <si>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</si>
  <si>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</si>
  <si>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</si>
  <si>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2026Q1</t>
  </si>
  <si>
    <t>2026Q2</t>
  </si>
  <si>
    <t>2026Q3</t>
  </si>
  <si>
    <t>2026Q4</t>
  </si>
  <si>
    <t>2027Q1</t>
  </si>
  <si>
    <t>2027Q2</t>
  </si>
  <si>
    <t>2027Q3</t>
  </si>
  <si>
    <t>2027Q4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</si>
  <si>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</si>
  <si>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</si>
  <si>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</si>
  <si>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</si>
  <si>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</si>
  <si>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</si>
  <si>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</si>
  <si>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July 2023</t>
  </si>
  <si>
    <t xml:space="preserve">Base period: </t>
  </si>
  <si>
    <t>FY23Q4</t>
  </si>
  <si>
    <t>Average</t>
  </si>
  <si>
    <t xml:space="preserve">Prospective rate period: </t>
  </si>
  <si>
    <t>July 1, 2023 - June 30, 2024</t>
  </si>
  <si>
    <t>CAF:</t>
  </si>
  <si>
    <t xml:space="preserve"> </t>
  </si>
  <si>
    <t>Source:</t>
  </si>
  <si>
    <t>BLS / OES</t>
  </si>
  <si>
    <t>Position</t>
  </si>
  <si>
    <t>53 Percentile</t>
  </si>
  <si>
    <t>Common model titles (not all inclusive)</t>
  </si>
  <si>
    <t>Minimum Education and/or certification/Training/Experience</t>
  </si>
  <si>
    <t>BLS Occupational Code(s)</t>
  </si>
  <si>
    <t>Direct Care (hourly)</t>
  </si>
  <si>
    <t>Direct Care, Direct Care Blend, Non Specialized DC, Peer mentor, Family Specialist/ Partner</t>
  </si>
  <si>
    <t>High School diploma / GED / State Training</t>
  </si>
  <si>
    <t>21-1093, 31-1120, 31-2022, 31-9099</t>
  </si>
  <si>
    <t>Direct Care  (annual)</t>
  </si>
  <si>
    <t>Direct Care III (hourly)</t>
  </si>
  <si>
    <t>Direct Care Supervisor, Direct Care Bachelors</t>
  </si>
  <si>
    <t>Bachelors Level or 5+ years related experience</t>
  </si>
  <si>
    <t>21-1094, 21-1015, 21-1018, 21-1023, 39-1022</t>
  </si>
  <si>
    <t>Direct Care III (annual)</t>
  </si>
  <si>
    <t xml:space="preserve">Developmental Specialist, </t>
  </si>
  <si>
    <t>Certified Nursing Assistant  (hourly)</t>
  </si>
  <si>
    <t>Completed a state-approved education program and must pass their state’s competency exam. </t>
  </si>
  <si>
    <t>31-1131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</si>
  <si>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</si>
  <si>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</si>
  <si>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</si>
  <si>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</si>
  <si>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21-1021, 21-1099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</si>
  <si>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</si>
  <si>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</si>
  <si>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</si>
  <si>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</si>
  <si>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</si>
  <si>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21-1021, 21-1019, 21-1022, 21-1029</t>
  </si>
  <si>
    <t>Case Manager / Social Worker / Clinical w/o independent License</t>
  </si>
  <si>
    <t>Clinical without Independent Licensure</t>
  </si>
  <si>
    <t>LPN (hourly)</t>
  </si>
  <si>
    <t>Complete a state approved nurse education program for licensed practical or licensed vocation nurse</t>
  </si>
  <si>
    <t>29-2061</t>
  </si>
  <si>
    <t>LPN (annual)</t>
  </si>
  <si>
    <t>Assistant Manager</t>
  </si>
  <si>
    <t>Clinical w/ Independent licensure (hourly)</t>
  </si>
  <si>
    <t>LPHA, LICSW, LMHC, LBHA, BCBA</t>
  </si>
  <si>
    <t xml:space="preserve">Masters with Licensure in Related Discipline </t>
  </si>
  <si>
    <t>19-3033, 21-1021, 21-1022, 19-3034</t>
  </si>
  <si>
    <t>Clinical w/ Independent licensure (annual)</t>
  </si>
  <si>
    <t>Dietician / Nutritionist (hourly)</t>
  </si>
  <si>
    <t xml:space="preserve">Bachelors Level </t>
  </si>
  <si>
    <t>29-1031</t>
  </si>
  <si>
    <t>Dietician / Nutritionist (annual)</t>
  </si>
  <si>
    <t>Program Management (hourly)</t>
  </si>
  <si>
    <t xml:space="preserve">Program manager, Program management, </t>
  </si>
  <si>
    <t>BA Level w/ 3+ years related work experience</t>
  </si>
  <si>
    <t>11-9151</t>
  </si>
  <si>
    <t>Program Management (annual)</t>
  </si>
  <si>
    <t>Program director</t>
  </si>
  <si>
    <t>Occupational Therapist (hourly)</t>
  </si>
  <si>
    <t>Occupational Therapists</t>
  </si>
  <si>
    <t>29-1129, 31-2011, 29-1122 (25%/25%/50%)</t>
  </si>
  <si>
    <t>Occupational Therapist (annual)</t>
  </si>
  <si>
    <t>Physical Therapist (hourly)</t>
  </si>
  <si>
    <t>Physical Therapists</t>
  </si>
  <si>
    <t>29-1129, 31-2021, 29-1123  (20%/20%/60%)</t>
  </si>
  <si>
    <t>Physical Therapist (annual)</t>
  </si>
  <si>
    <t>Clinical Manager / Psychologists (hourly)</t>
  </si>
  <si>
    <t>Clinical Manager, Clinical Director</t>
  </si>
  <si>
    <t>Masters with Licensure in Related Discipline and supervising/managerial related experience</t>
  </si>
  <si>
    <t>19-3033, 19-3034</t>
  </si>
  <si>
    <t>Clinical Manager /  Psychologists  (annual)</t>
  </si>
  <si>
    <t>Speech Language Pathologists (hourly)</t>
  </si>
  <si>
    <t>29-1129, 29-1127</t>
  </si>
  <si>
    <t>Speech Language Pathologists (annual)</t>
  </si>
  <si>
    <t>Registerd Nurse (BA) (hourly)</t>
  </si>
  <si>
    <t>Minimum of an associates degree in nursing, a diploma from an approved nursing program, or a Bachelors of Science in Nursing</t>
  </si>
  <si>
    <t>29-1141</t>
  </si>
  <si>
    <t>Registered Nurse (BA) (annual)</t>
  </si>
  <si>
    <t>Registerd Nurse (MA / APRN) (hourly)</t>
  </si>
  <si>
    <t>Minimum of a Masters of Science in one of the APRN roles. Must be licensed</t>
  </si>
  <si>
    <t>29-1171</t>
  </si>
  <si>
    <t>Registered Nurse (MA / APRN) (annual)</t>
  </si>
  <si>
    <t>Clerical, Support &amp; Direct Care Relief Staff are benched to Direct Care</t>
  </si>
  <si>
    <t xml:space="preserve">Tax and Fringe =  </t>
  </si>
  <si>
    <t xml:space="preserve">Benchmarked to FY23 (approved) Commonwealth (office of the Comptroller) T&amp;F rate, less </t>
  </si>
  <si>
    <t xml:space="preserve">Terminal leave, and  retirement.  Does include Paid Family Medical Leave tax.
Includes and additional 2% to be used at providers descretion for retirement and/or other benefits
</t>
  </si>
  <si>
    <t>Admin Allocation</t>
  </si>
  <si>
    <t>C.257 Benchmark</t>
  </si>
  <si>
    <t>Misc. BLS benchmarks</t>
  </si>
  <si>
    <t>Psychiatrist</t>
  </si>
  <si>
    <t>M2021 BLS Occ Code 29-1223 NAICS 622200 (Nat'l)</t>
  </si>
  <si>
    <t>Medical Director</t>
  </si>
  <si>
    <t>M2021 BLS Occ Code 29-1229 NAICS 622200 (Nat'l)</t>
  </si>
  <si>
    <t>Physician Assistants</t>
  </si>
  <si>
    <t>M2021 BLS  Occ Code 29-1071</t>
  </si>
  <si>
    <t>Relief Assumptions:</t>
  </si>
  <si>
    <t>Days</t>
  </si>
  <si>
    <t>Hours</t>
  </si>
  <si>
    <t>Vacation</t>
  </si>
  <si>
    <t>Sick/ personal</t>
  </si>
  <si>
    <t>Holidays</t>
  </si>
  <si>
    <t>Training</t>
  </si>
  <si>
    <t>Total Hours per FTE:</t>
  </si>
  <si>
    <t>Relief Factor (% of FTE)</t>
  </si>
  <si>
    <t xml:space="preserve">DMH RESPITE - CAPACITY MODELS - </t>
  </si>
  <si>
    <t>MASTER DATA LOOKUP TABLE</t>
  </si>
  <si>
    <t>DMH RESPITE - 3048 - Blended Model - Level A</t>
  </si>
  <si>
    <t>DMH RESPITE - 3048 - Blended Model - Level B</t>
  </si>
  <si>
    <t>DMH RESPITE - 3048 - Blended Model - Level C</t>
  </si>
  <si>
    <t xml:space="preserve">BENCHMARK </t>
  </si>
  <si>
    <t>W Cafs</t>
  </si>
  <si>
    <t>Per Hour</t>
  </si>
  <si>
    <t>SOURCE</t>
  </si>
  <si>
    <t>Maximum Model Capacity</t>
  </si>
  <si>
    <t>LEVEL</t>
  </si>
  <si>
    <t>A</t>
  </si>
  <si>
    <t>B</t>
  </si>
  <si>
    <t>C</t>
  </si>
  <si>
    <t>Average Site Capacity</t>
  </si>
  <si>
    <t>TOTAL UNITS</t>
  </si>
  <si>
    <t>FTEs</t>
  </si>
  <si>
    <t>Average Site</t>
  </si>
  <si>
    <t>Average Mobile Capacity</t>
  </si>
  <si>
    <t>Average Mobile</t>
  </si>
  <si>
    <t>FTE</t>
  </si>
  <si>
    <t>Expense</t>
  </si>
  <si>
    <t>Program Function Manager</t>
  </si>
  <si>
    <t>Purchaser Recommendation</t>
  </si>
  <si>
    <t>Management Staff</t>
  </si>
  <si>
    <t>Program Director</t>
  </si>
  <si>
    <t>Nursing and Clinical Staff</t>
  </si>
  <si>
    <t>LPHA</t>
  </si>
  <si>
    <t>Direct Service Staff</t>
  </si>
  <si>
    <t>APRN</t>
  </si>
  <si>
    <t>Total</t>
  </si>
  <si>
    <t>RN</t>
  </si>
  <si>
    <t>Tax and Fringe</t>
  </si>
  <si>
    <t>LPN</t>
  </si>
  <si>
    <t>CAF on Compensation</t>
  </si>
  <si>
    <t xml:space="preserve">Direct Care </t>
  </si>
  <si>
    <t>Total Compensation</t>
  </si>
  <si>
    <t>Relief</t>
  </si>
  <si>
    <t>Purchaser Reccomendation</t>
  </si>
  <si>
    <t>Direct Care Mobile</t>
  </si>
  <si>
    <t>Peer &amp; Family Specialist</t>
  </si>
  <si>
    <t>Total Reimbursable Exp. Excl. Admin.</t>
  </si>
  <si>
    <t>Clerical Support</t>
  </si>
  <si>
    <t>CAF on Prg Exp</t>
  </si>
  <si>
    <t>Total FTEs by Capacity</t>
  </si>
  <si>
    <t>Admin. Allocation</t>
  </si>
  <si>
    <t>BENCHMARK EXPENSES</t>
  </si>
  <si>
    <t>Total Annual Amount</t>
  </si>
  <si>
    <t>Tax &amp; Fringe</t>
  </si>
  <si>
    <t>FY22 Benchmark</t>
  </si>
  <si>
    <t>Total Monthly Rate</t>
  </si>
  <si>
    <t>Occupancy (per FTE)</t>
  </si>
  <si>
    <t xml:space="preserve">FY21 UFR Data wtg avg </t>
  </si>
  <si>
    <t>All Other expenses (per FTE)</t>
  </si>
  <si>
    <t>FY21 UFR Data wtg avg (includes training, meals, travel/transportation, Client Personal and Incendential allowances &amp; Supplies and Materials</t>
  </si>
  <si>
    <t>MA EOHHS C.257 Benchmark</t>
  </si>
  <si>
    <t>Rate review CAF FY24</t>
  </si>
  <si>
    <t>Prospective Period FY23 &amp; FY24</t>
  </si>
  <si>
    <t>DMH RESPITE - SITE BASED PER DIEM MODEL</t>
  </si>
  <si>
    <t>DMH RESPITE - 3048 -SITE BASED PER DIEM MODEL</t>
  </si>
  <si>
    <t>BENCHMARK FTEs</t>
  </si>
  <si>
    <t>Beds:</t>
  </si>
  <si>
    <t>Bed Days:</t>
  </si>
  <si>
    <t>Medical (LICSW)</t>
  </si>
  <si>
    <t>Clinician / Counselor</t>
  </si>
  <si>
    <t>Direct Care</t>
  </si>
  <si>
    <t>Cost Adjustment Factor  (Comp)</t>
  </si>
  <si>
    <t>FY24 Benchmark</t>
  </si>
  <si>
    <t>FY21 UFR Data etg avg (includes training, meals, travel/transportation, Client Personal and Incendential allowances &amp; Supplies and Materials</t>
  </si>
  <si>
    <t>Cost Adjustment Factor (Prg Exp)</t>
  </si>
  <si>
    <t>Total Amount</t>
  </si>
  <si>
    <t>Per Diem Rate per person</t>
  </si>
  <si>
    <t>DMH RESPITE - PEER MODEL</t>
  </si>
  <si>
    <t>DMH RESPITE - 3048 - PEER MODEL</t>
  </si>
  <si>
    <t>Minimum Site Capacity</t>
  </si>
  <si>
    <t>Maximum Site Capacity</t>
  </si>
  <si>
    <t>Total Units</t>
  </si>
  <si>
    <t>Cost Adjustment Factor (Comp)</t>
  </si>
  <si>
    <t>Cost Adjustment Factor (Pgm Exp)</t>
  </si>
  <si>
    <t>CONTRACT ANALYSIS</t>
  </si>
  <si>
    <t>CAPACITY</t>
  </si>
  <si>
    <t>FTE Ratio</t>
  </si>
  <si>
    <t>STAFFING</t>
  </si>
  <si>
    <t>WESTERN MA -1203</t>
  </si>
  <si>
    <t>Total Contract FTEs/Total Model FTEs</t>
  </si>
  <si>
    <t>Salary</t>
  </si>
  <si>
    <t>AsstProgram Director</t>
  </si>
  <si>
    <t>DC I</t>
  </si>
  <si>
    <t>Tax</t>
  </si>
  <si>
    <t>Fringe</t>
  </si>
  <si>
    <t>TOTAL T &amp; F</t>
  </si>
  <si>
    <t>Rate of T &amp; F</t>
  </si>
  <si>
    <t>TOTAL COMPENSATION</t>
  </si>
  <si>
    <t>EXPENSES</t>
  </si>
  <si>
    <t>Totals</t>
  </si>
  <si>
    <t>Per FTE</t>
  </si>
  <si>
    <t>Per FTE (Ratio)</t>
  </si>
  <si>
    <t>Occupancy</t>
  </si>
  <si>
    <t>Staff Mileage</t>
  </si>
  <si>
    <t>Staff Training</t>
  </si>
  <si>
    <t>Program Supplies</t>
  </si>
  <si>
    <t>Other</t>
  </si>
  <si>
    <t>Client Allowance</t>
  </si>
  <si>
    <t>DC Consultant</t>
  </si>
  <si>
    <t>Provision of Material Goods</t>
  </si>
  <si>
    <t>Direct Administrative Expense</t>
  </si>
  <si>
    <t>Total Expenses</t>
  </si>
  <si>
    <t>Total Program Excl M &amp; G</t>
  </si>
  <si>
    <t>Rate of Admin Alloc</t>
  </si>
  <si>
    <t>TOTAL PROGRAM</t>
  </si>
  <si>
    <t>DMH RESPITE - MOBILE PER DIEM MODEL</t>
  </si>
  <si>
    <t>DMH RESPITE - 3048 -MOBILE PER DIEM MODEL</t>
  </si>
  <si>
    <t>Slots</t>
  </si>
  <si>
    <t>Total Slots</t>
  </si>
  <si>
    <t>Additional Travel/Vehicle Exp (Per FTE)</t>
  </si>
  <si>
    <t>Prospective Period FY20 &amp; FY22</t>
  </si>
  <si>
    <t>TOTAL PROGRAM COST</t>
  </si>
  <si>
    <t>The below is for comparison purposes - below are the models for the current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</si>
</sst>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"/>
    <numFmt numFmtId="165" formatCode="0.0"/>
    <numFmt numFmtId="166" formatCode="[$-409]mmmm\ d\,\ yyyy;@"/>
    <numFmt numFmtId="167" formatCode="&quot;$&quot;#,##0.00"/>
    <numFmt numFmtId="168" formatCode="&quot;$&quot;#,##0"/>
    <numFmt numFmtId="169" formatCode="\$#,##0"/>
    <numFmt numFmtId="170" formatCode="0.0%"/>
    <numFmt numFmtId="171" formatCode="_(&quot;$&quot;* #,##0_);_(&quot;$&quot;* \(#,##0\);_(&quot;$&quot;* &quot;-&quot;??_);_(@_)"/>
    <numFmt numFmtId="172" formatCode="_(&quot;$&quot;* #,##0.00_);_(&quot;$&quot;* \(#,##0.00\);_(&quot;$&quot;* &quot;-&quot;_);_(@_)"/>
    <numFmt numFmtId="173" formatCode="_(&quot;$&quot;* #,##0_);_(&quot;$&quot;* \(#,##0\);_(&quot;$&quot;* &quot;-&quot;?_);_(@_)"/>
    <numFmt numFmtId="174" formatCode="0.00_);[Red]\(0.00\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4"/>
      <name val="Arial Black"/>
      <family val="2"/>
    </font>
    <font>
      <sz val="14"/>
      <name val="Arial Black"/>
      <family val="2"/>
    </font>
    <font>
      <sz val="11"/>
      <name val="Arial"/>
      <family val="2"/>
    </font>
    <font>
      <b/>
      <sz val="14"/>
      <name val="Arial Black"/>
      <family val="2"/>
    </font>
    <font>
      <b/>
      <sz val="12"/>
      <name val="Calibri (Body)"/>
    </font>
    <font>
      <sz val="12"/>
      <name val="Calibri (Body)"/>
    </font>
    <font>
      <i/>
      <sz val="12"/>
      <name val="Calibri (Body)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 (Body)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 (Body)"/>
    </font>
    <font>
      <sz val="12"/>
      <color theme="1"/>
      <name val="Calibri (Body)"/>
    </font>
    <font>
      <sz val="16"/>
      <color theme="1"/>
      <name val="Calibri"/>
      <family val="2"/>
      <scheme val="minor"/>
    </font>
    <font>
      <sz val="16"/>
      <color theme="1"/>
      <name val="Calibri (Body)"/>
    </font>
    <font>
      <i/>
      <sz val="12"/>
      <color theme="0"/>
      <name val="Calibri (Body)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 (Body)"/>
    </font>
    <font>
      <sz val="12"/>
      <color theme="0"/>
      <name val="Calibri (Body)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name val="Calibri"/>
      <family val="2"/>
    </font>
    <font>
      <sz val="12"/>
      <color indexed="17"/>
      <name val="Arial"/>
      <family val="2"/>
    </font>
    <font>
      <b/>
      <sz val="12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>
      <alignment horizontal="left" vertical="center" wrapText="1"/>
    </xf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6">
    <xf numFmtId="0" fontId="0" fillId="0" borderId="0" xfId="0"/>
    <xf numFmtId="0" fontId="2" fillId="0" borderId="0" xfId="3"/>
    <xf numFmtId="0" fontId="4" fillId="2" borderId="0" xfId="3" applyFont="1" applyFill="1"/>
    <xf numFmtId="0" fontId="5" fillId="2" borderId="3" xfId="3" applyFont="1" applyFill="1" applyBorder="1"/>
    <xf numFmtId="0" fontId="6" fillId="2" borderId="4" xfId="3" applyFont="1" applyFill="1" applyBorder="1"/>
    <xf numFmtId="0" fontId="5" fillId="2" borderId="5" xfId="3" applyFont="1" applyFill="1" applyBorder="1"/>
    <xf numFmtId="0" fontId="5" fillId="0" borderId="0" xfId="3" applyFont="1"/>
    <xf numFmtId="0" fontId="7" fillId="3" borderId="0" xfId="4" applyFont="1" applyFill="1"/>
    <xf numFmtId="0" fontId="7" fillId="4" borderId="0" xfId="4" applyFont="1" applyFill="1"/>
    <xf numFmtId="0" fontId="7" fillId="5" borderId="0" xfId="4" applyFont="1" applyFill="1"/>
    <xf numFmtId="0" fontId="7" fillId="6" borderId="0" xfId="3" applyFont="1" applyFill="1" applyAlignment="1">
      <alignment horizontal="center"/>
    </xf>
    <xf numFmtId="0" fontId="7" fillId="7" borderId="0" xfId="3" applyFont="1" applyFill="1" applyAlignment="1">
      <alignment horizontal="center"/>
    </xf>
    <xf numFmtId="14" fontId="5" fillId="0" borderId="0" xfId="3" applyNumberFormat="1" applyFont="1"/>
    <xf numFmtId="164" fontId="2" fillId="0" borderId="0" xfId="3" applyNumberFormat="1"/>
    <xf numFmtId="2" fontId="2" fillId="0" borderId="0" xfId="3" applyNumberFormat="1"/>
    <xf numFmtId="0" fontId="5" fillId="0" borderId="0" xfId="5" applyFont="1" applyAlignment="1"/>
    <xf numFmtId="0" fontId="8" fillId="0" borderId="0" xfId="5" applyAlignment="1"/>
    <xf numFmtId="0" fontId="9" fillId="0" borderId="0" xfId="5" applyFont="1" applyAlignment="1"/>
    <xf numFmtId="0" fontId="10" fillId="0" borderId="0" xfId="5" applyFont="1" applyAlignment="1"/>
    <xf numFmtId="0" fontId="8" fillId="0" borderId="6" xfId="5" applyBorder="1" applyAlignment="1"/>
    <xf numFmtId="0" fontId="8" fillId="0" borderId="7" xfId="5" applyBorder="1" applyAlignment="1"/>
    <xf numFmtId="0" fontId="8" fillId="0" borderId="8" xfId="5" applyBorder="1" applyAlignment="1"/>
    <xf numFmtId="0" fontId="8" fillId="0" borderId="9" xfId="5" applyBorder="1" applyAlignment="1"/>
    <xf numFmtId="0" fontId="8" fillId="0" borderId="0" xfId="5" applyAlignment="1">
      <alignment horizontal="right"/>
    </xf>
    <xf numFmtId="0" fontId="5" fillId="0" borderId="0" xfId="5" applyFont="1" applyAlignment="1">
      <alignment horizontal="center"/>
    </xf>
    <xf numFmtId="0" fontId="8" fillId="0" borderId="10" xfId="5" applyBorder="1" applyAlignment="1"/>
    <xf numFmtId="165" fontId="2" fillId="0" borderId="0" xfId="3" applyNumberFormat="1"/>
    <xf numFmtId="14" fontId="5" fillId="0" borderId="0" xfId="3" applyNumberFormat="1" applyFont="1" applyAlignment="1">
      <alignment horizontal="center"/>
    </xf>
    <xf numFmtId="0" fontId="11" fillId="0" borderId="10" xfId="5" applyFont="1" applyBorder="1" applyAlignment="1">
      <alignment horizontal="center"/>
    </xf>
    <xf numFmtId="164" fontId="2" fillId="0" borderId="11" xfId="3" applyNumberFormat="1" applyBorder="1"/>
    <xf numFmtId="164" fontId="8" fillId="0" borderId="10" xfId="5" applyNumberFormat="1" applyBorder="1" applyAlignment="1">
      <alignment horizontal="center"/>
    </xf>
    <xf numFmtId="0" fontId="8" fillId="0" borderId="10" xfId="5" applyBorder="1" applyAlignment="1">
      <alignment horizontal="center"/>
    </xf>
    <xf numFmtId="0" fontId="8" fillId="0" borderId="9" xfId="5" applyBorder="1" applyAlignment="1">
      <alignment horizontal="right"/>
    </xf>
    <xf numFmtId="0" fontId="5" fillId="8" borderId="0" xfId="5" applyFont="1" applyFill="1" applyAlignment="1">
      <alignment horizontal="right"/>
    </xf>
    <xf numFmtId="10" fontId="5" fillId="8" borderId="10" xfId="6" applyNumberFormat="1" applyFont="1" applyFill="1" applyBorder="1" applyAlignment="1">
      <alignment horizontal="center"/>
    </xf>
    <xf numFmtId="0" fontId="8" fillId="0" borderId="12" xfId="5" applyBorder="1" applyAlignment="1"/>
    <xf numFmtId="0" fontId="8" fillId="0" borderId="13" xfId="5" applyBorder="1" applyAlignment="1"/>
    <xf numFmtId="0" fontId="8" fillId="0" borderId="14" xfId="5" applyBorder="1" applyAlignment="1"/>
    <xf numFmtId="0" fontId="12" fillId="0" borderId="0" xfId="7" applyFont="1"/>
    <xf numFmtId="0" fontId="13" fillId="0" borderId="0" xfId="7" applyFont="1" applyAlignment="1">
      <alignment horizontal="center"/>
    </xf>
    <xf numFmtId="0" fontId="12" fillId="0" borderId="0" xfId="7" applyFont="1" applyAlignment="1">
      <alignment wrapText="1"/>
    </xf>
    <xf numFmtId="17" fontId="14" fillId="0" borderId="0" xfId="7" applyNumberFormat="1" applyFont="1" applyAlignment="1">
      <alignment horizontal="center"/>
    </xf>
    <xf numFmtId="166" fontId="15" fillId="0" borderId="0" xfId="7" applyNumberFormat="1" applyFont="1" applyAlignment="1">
      <alignment horizontal="left" vertical="top"/>
    </xf>
    <xf numFmtId="0" fontId="15" fillId="0" borderId="0" xfId="7" applyFont="1" applyAlignment="1">
      <alignment horizontal="center"/>
    </xf>
    <xf numFmtId="0" fontId="15" fillId="0" borderId="0" xfId="7" applyFont="1"/>
    <xf numFmtId="9" fontId="14" fillId="0" borderId="0" xfId="7" applyNumberFormat="1" applyFont="1" applyAlignment="1">
      <alignment horizontal="center" wrapText="1"/>
    </xf>
    <xf numFmtId="0" fontId="15" fillId="0" borderId="0" xfId="7" applyFont="1" applyAlignment="1">
      <alignment horizontal="left" wrapText="1"/>
    </xf>
    <xf numFmtId="0" fontId="12" fillId="0" borderId="15" xfId="7" applyFont="1" applyBorder="1"/>
    <xf numFmtId="167" fontId="12" fillId="0" borderId="16" xfId="7" applyNumberFormat="1" applyFont="1" applyBorder="1" applyAlignment="1">
      <alignment horizontal="center"/>
    </xf>
    <xf numFmtId="0" fontId="12" fillId="0" borderId="17" xfId="7" applyFont="1" applyBorder="1"/>
    <xf numFmtId="168" fontId="12" fillId="0" borderId="4" xfId="7" applyNumberFormat="1" applyFont="1" applyBorder="1" applyAlignment="1">
      <alignment horizontal="center"/>
    </xf>
    <xf numFmtId="0" fontId="12" fillId="0" borderId="1" xfId="7" applyFont="1" applyBorder="1"/>
    <xf numFmtId="0" fontId="12" fillId="0" borderId="18" xfId="7" applyFont="1" applyBorder="1"/>
    <xf numFmtId="168" fontId="12" fillId="0" borderId="0" xfId="7" applyNumberFormat="1" applyFont="1" applyAlignment="1">
      <alignment horizontal="center"/>
    </xf>
    <xf numFmtId="0" fontId="12" fillId="0" borderId="4" xfId="7" applyFont="1" applyBorder="1"/>
    <xf numFmtId="0" fontId="12" fillId="0" borderId="15" xfId="7" applyFont="1" applyBorder="1" applyAlignment="1">
      <alignment wrapText="1"/>
    </xf>
    <xf numFmtId="0" fontId="12" fillId="0" borderId="17" xfId="7" applyFont="1" applyBorder="1" applyAlignment="1">
      <alignment wrapText="1"/>
    </xf>
    <xf numFmtId="167" fontId="12" fillId="0" borderId="1" xfId="7" applyNumberFormat="1" applyFont="1" applyBorder="1" applyAlignment="1">
      <alignment horizontal="center"/>
    </xf>
    <xf numFmtId="167" fontId="12" fillId="0" borderId="0" xfId="7" applyNumberFormat="1" applyFont="1" applyAlignment="1">
      <alignment horizontal="center"/>
    </xf>
    <xf numFmtId="0" fontId="12" fillId="0" borderId="0" xfId="7" applyFont="1" applyAlignment="1">
      <alignment horizontal="right" wrapText="1"/>
    </xf>
    <xf numFmtId="0" fontId="12" fillId="0" borderId="0" xfId="7" applyFont="1" applyAlignment="1">
      <alignment horizontal="center"/>
    </xf>
    <xf numFmtId="0" fontId="12" fillId="0" borderId="0" xfId="7" applyFont="1" applyAlignment="1">
      <alignment horizontal="right"/>
    </xf>
    <xf numFmtId="10" fontId="12" fillId="0" borderId="0" xfId="8" applyNumberFormat="1" applyFont="1" applyAlignment="1">
      <alignment horizontal="center"/>
    </xf>
    <xf numFmtId="9" fontId="12" fillId="0" borderId="0" xfId="8" applyFont="1" applyAlignment="1">
      <alignment horizontal="center"/>
    </xf>
    <xf numFmtId="9" fontId="12" fillId="0" borderId="0" xfId="8" applyFont="1"/>
    <xf numFmtId="167" fontId="12" fillId="0" borderId="0" xfId="7" applyNumberFormat="1" applyFont="1"/>
    <xf numFmtId="0" fontId="16" fillId="0" borderId="6" xfId="0" applyFont="1" applyBorder="1"/>
    <xf numFmtId="0" fontId="16" fillId="0" borderId="7" xfId="0" applyFont="1" applyBorder="1" applyAlignment="1">
      <alignment horizontal="center"/>
    </xf>
    <xf numFmtId="169" fontId="16" fillId="0" borderId="8" xfId="0" applyNumberFormat="1" applyFont="1" applyBorder="1" applyAlignment="1">
      <alignment horizontal="center"/>
    </xf>
    <xf numFmtId="0" fontId="17" fillId="0" borderId="9" xfId="0" applyFont="1" applyBorder="1"/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17" fillId="0" borderId="19" xfId="0" applyFont="1" applyBorder="1" applyAlignment="1">
      <alignment horizontal="center"/>
    </xf>
    <xf numFmtId="0" fontId="17" fillId="0" borderId="0" xfId="0" applyFont="1" applyAlignment="1">
      <alignment horizontal="right"/>
    </xf>
    <xf numFmtId="170" fontId="19" fillId="0" borderId="14" xfId="9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44" fontId="21" fillId="0" borderId="0" xfId="0" applyNumberFormat="1" applyFont="1"/>
    <xf numFmtId="164" fontId="21" fillId="0" borderId="0" xfId="0" applyNumberFormat="1" applyFont="1"/>
    <xf numFmtId="14" fontId="22" fillId="9" borderId="0" xfId="0" applyNumberFormat="1" applyFont="1" applyFill="1" applyAlignment="1">
      <alignment horizontal="left"/>
    </xf>
    <xf numFmtId="0" fontId="21" fillId="9" borderId="0" xfId="0" applyFont="1" applyFill="1"/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20" fillId="11" borderId="17" xfId="0" applyFont="1" applyFill="1" applyBorder="1" applyAlignment="1">
      <alignment horizontal="center"/>
    </xf>
    <xf numFmtId="3" fontId="20" fillId="0" borderId="4" xfId="0" applyNumberFormat="1" applyFont="1" applyBorder="1" applyAlignment="1">
      <alignment horizontal="center"/>
    </xf>
    <xf numFmtId="0" fontId="21" fillId="0" borderId="3" xfId="0" applyFont="1" applyBorder="1"/>
    <xf numFmtId="3" fontId="20" fillId="0" borderId="24" xfId="0" applyNumberFormat="1" applyFont="1" applyBorder="1" applyAlignment="1">
      <alignment horizontal="center"/>
    </xf>
    <xf numFmtId="0" fontId="21" fillId="0" borderId="4" xfId="0" applyFont="1" applyBorder="1"/>
    <xf numFmtId="0" fontId="21" fillId="0" borderId="5" xfId="0" applyFont="1" applyBorder="1"/>
    <xf numFmtId="3" fontId="20" fillId="11" borderId="24" xfId="0" applyNumberFormat="1" applyFont="1" applyFill="1" applyBorder="1" applyAlignment="1">
      <alignment horizontal="center"/>
    </xf>
    <xf numFmtId="0" fontId="21" fillId="12" borderId="28" xfId="0" applyFont="1" applyFill="1" applyBorder="1"/>
    <xf numFmtId="0" fontId="20" fillId="12" borderId="29" xfId="0" applyFont="1" applyFill="1" applyBorder="1" applyAlignment="1">
      <alignment horizontal="right"/>
    </xf>
    <xf numFmtId="42" fontId="20" fillId="12" borderId="11" xfId="0" applyNumberFormat="1" applyFont="1" applyFill="1" applyBorder="1" applyAlignment="1">
      <alignment horizontal="center"/>
    </xf>
    <xf numFmtId="42" fontId="21" fillId="12" borderId="29" xfId="0" applyNumberFormat="1" applyFont="1" applyFill="1" applyBorder="1"/>
    <xf numFmtId="42" fontId="21" fillId="12" borderId="30" xfId="0" applyNumberFormat="1" applyFont="1" applyFill="1" applyBorder="1"/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3" fontId="20" fillId="0" borderId="25" xfId="0" applyNumberFormat="1" applyFont="1" applyBorder="1" applyAlignment="1">
      <alignment horizontal="center"/>
    </xf>
    <xf numFmtId="0" fontId="20" fillId="12" borderId="9" xfId="0" applyFont="1" applyFill="1" applyBorder="1" applyAlignment="1">
      <alignment horizontal="center"/>
    </xf>
    <xf numFmtId="0" fontId="20" fillId="12" borderId="10" xfId="0" applyFont="1" applyFill="1" applyBorder="1" applyAlignment="1">
      <alignment horizontal="right"/>
    </xf>
    <xf numFmtId="0" fontId="20" fillId="0" borderId="31" xfId="0" applyFont="1" applyBorder="1" applyAlignment="1">
      <alignment horizontal="center"/>
    </xf>
    <xf numFmtId="3" fontId="20" fillId="0" borderId="31" xfId="0" applyNumberFormat="1" applyFont="1" applyBorder="1" applyAlignment="1">
      <alignment horizontal="center"/>
    </xf>
    <xf numFmtId="42" fontId="21" fillId="12" borderId="0" xfId="0" applyNumberFormat="1" applyFont="1" applyFill="1"/>
    <xf numFmtId="42" fontId="21" fillId="12" borderId="10" xfId="0" applyNumberFormat="1" applyFont="1" applyFill="1" applyBorder="1"/>
    <xf numFmtId="3" fontId="20" fillId="11" borderId="25" xfId="0" applyNumberFormat="1" applyFont="1" applyFill="1" applyBorder="1" applyAlignment="1">
      <alignment horizontal="center"/>
    </xf>
    <xf numFmtId="0" fontId="20" fillId="12" borderId="0" xfId="0" applyFont="1" applyFill="1" applyAlignment="1">
      <alignment horizontal="right"/>
    </xf>
    <xf numFmtId="1" fontId="20" fillId="0" borderId="11" xfId="2" applyNumberFormat="1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0" fontId="20" fillId="0" borderId="32" xfId="0" applyFont="1" applyBorder="1"/>
    <xf numFmtId="0" fontId="20" fillId="0" borderId="13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171" fontId="21" fillId="0" borderId="0" xfId="0" applyNumberFormat="1" applyFont="1"/>
    <xf numFmtId="0" fontId="21" fillId="12" borderId="9" xfId="0" applyFont="1" applyFill="1" applyBorder="1"/>
    <xf numFmtId="0" fontId="21" fillId="12" borderId="0" xfId="0" applyFont="1" applyFill="1"/>
    <xf numFmtId="40" fontId="21" fillId="12" borderId="34" xfId="0" applyNumberFormat="1" applyFont="1" applyFill="1" applyBorder="1" applyAlignment="1">
      <alignment horizontal="center"/>
    </xf>
    <xf numFmtId="0" fontId="21" fillId="0" borderId="35" xfId="0" applyFont="1" applyBorder="1"/>
    <xf numFmtId="42" fontId="21" fillId="0" borderId="0" xfId="0" applyNumberFormat="1" applyFont="1"/>
    <xf numFmtId="4" fontId="21" fillId="0" borderId="0" xfId="0" applyNumberFormat="1" applyFont="1" applyAlignment="1">
      <alignment horizontal="center"/>
    </xf>
    <xf numFmtId="171" fontId="21" fillId="0" borderId="3" xfId="0" applyNumberFormat="1" applyFont="1" applyBorder="1"/>
    <xf numFmtId="172" fontId="21" fillId="12" borderId="10" xfId="0" applyNumberFormat="1" applyFont="1" applyFill="1" applyBorder="1"/>
    <xf numFmtId="0" fontId="21" fillId="0" borderId="18" xfId="0" applyFont="1" applyBorder="1"/>
    <xf numFmtId="0" fontId="21" fillId="12" borderId="9" xfId="0" applyFont="1" applyFill="1" applyBorder="1" applyAlignment="1">
      <alignment wrapText="1"/>
    </xf>
    <xf numFmtId="0" fontId="21" fillId="12" borderId="0" xfId="0" applyFont="1" applyFill="1" applyAlignment="1">
      <alignment wrapText="1"/>
    </xf>
    <xf numFmtId="0" fontId="20" fillId="0" borderId="23" xfId="0" applyFont="1" applyBorder="1"/>
    <xf numFmtId="42" fontId="21" fillId="0" borderId="24" xfId="0" applyNumberFormat="1" applyFont="1" applyBorder="1"/>
    <xf numFmtId="4" fontId="20" fillId="0" borderId="24" xfId="0" applyNumberFormat="1" applyFont="1" applyBorder="1" applyAlignment="1">
      <alignment horizontal="center"/>
    </xf>
    <xf numFmtId="171" fontId="20" fillId="0" borderId="25" xfId="0" applyNumberFormat="1" applyFont="1" applyBorder="1"/>
    <xf numFmtId="42" fontId="20" fillId="0" borderId="24" xfId="0" applyNumberFormat="1" applyFont="1" applyBorder="1"/>
    <xf numFmtId="0" fontId="23" fillId="0" borderId="18" xfId="0" applyFont="1" applyBorder="1"/>
    <xf numFmtId="42" fontId="23" fillId="0" borderId="0" xfId="0" applyNumberFormat="1" applyFont="1"/>
    <xf numFmtId="10" fontId="23" fillId="0" borderId="0" xfId="2" applyNumberFormat="1" applyFont="1" applyAlignment="1">
      <alignment horizontal="center"/>
    </xf>
    <xf numFmtId="171" fontId="23" fillId="0" borderId="3" xfId="0" applyNumberFormat="1" applyFont="1" applyBorder="1"/>
    <xf numFmtId="0" fontId="23" fillId="0" borderId="0" xfId="0" applyFont="1"/>
    <xf numFmtId="42" fontId="23" fillId="0" borderId="13" xfId="0" applyNumberFormat="1" applyFont="1" applyBorder="1"/>
    <xf numFmtId="0" fontId="24" fillId="0" borderId="36" xfId="0" applyFont="1" applyBorder="1"/>
    <xf numFmtId="0" fontId="20" fillId="0" borderId="29" xfId="0" applyFont="1" applyBorder="1"/>
    <xf numFmtId="4" fontId="20" fillId="0" borderId="29" xfId="0" applyNumberFormat="1" applyFont="1" applyBorder="1" applyAlignment="1">
      <alignment horizontal="center"/>
    </xf>
    <xf numFmtId="42" fontId="20" fillId="0" borderId="37" xfId="0" applyNumberFormat="1" applyFont="1" applyBorder="1"/>
    <xf numFmtId="0" fontId="21" fillId="0" borderId="9" xfId="0" applyFont="1" applyBorder="1" applyAlignment="1">
      <alignment vertical="center"/>
    </xf>
    <xf numFmtId="0" fontId="21" fillId="0" borderId="0" xfId="0" applyFont="1" applyAlignment="1">
      <alignment vertical="center"/>
    </xf>
    <xf numFmtId="40" fontId="21" fillId="0" borderId="34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42" fontId="21" fillId="0" borderId="0" xfId="0" applyNumberFormat="1" applyFont="1" applyAlignment="1">
      <alignment vertical="center"/>
    </xf>
    <xf numFmtId="42" fontId="21" fillId="0" borderId="3" xfId="0" applyNumberFormat="1" applyFont="1" applyBorder="1" applyAlignment="1">
      <alignment vertical="center"/>
    </xf>
    <xf numFmtId="0" fontId="20" fillId="0" borderId="36" xfId="0" applyFont="1" applyBorder="1"/>
    <xf numFmtId="0" fontId="21" fillId="0" borderId="29" xfId="0" applyFont="1" applyBorder="1"/>
    <xf numFmtId="6" fontId="20" fillId="0" borderId="29" xfId="0" applyNumberFormat="1" applyFont="1" applyBorder="1" applyAlignment="1">
      <alignment horizontal="center"/>
    </xf>
    <xf numFmtId="171" fontId="21" fillId="0" borderId="37" xfId="10" applyNumberFormat="1" applyFont="1" applyBorder="1"/>
    <xf numFmtId="171" fontId="21" fillId="0" borderId="0" xfId="10" applyNumberFormat="1" applyFont="1"/>
    <xf numFmtId="8" fontId="20" fillId="0" borderId="29" xfId="0" applyNumberFormat="1" applyFont="1" applyBorder="1" applyAlignment="1">
      <alignment horizontal="center"/>
    </xf>
    <xf numFmtId="10" fontId="21" fillId="0" borderId="7" xfId="0" applyNumberFormat="1" applyFont="1" applyBorder="1"/>
    <xf numFmtId="6" fontId="20" fillId="0" borderId="7" xfId="0" applyNumberFormat="1" applyFont="1" applyBorder="1" applyAlignment="1">
      <alignment horizontal="center"/>
    </xf>
    <xf numFmtId="171" fontId="21" fillId="0" borderId="38" xfId="10" applyNumberFormat="1" applyFont="1" applyBorder="1"/>
    <xf numFmtId="8" fontId="20" fillId="0" borderId="7" xfId="0" applyNumberFormat="1" applyFont="1" applyBorder="1" applyAlignment="1">
      <alignment horizontal="center"/>
    </xf>
    <xf numFmtId="40" fontId="20" fillId="12" borderId="11" xfId="0" applyNumberFormat="1" applyFont="1" applyFill="1" applyBorder="1" applyAlignment="1">
      <alignment horizontal="center"/>
    </xf>
    <xf numFmtId="10" fontId="21" fillId="0" borderId="39" xfId="2" applyNumberFormat="1" applyFont="1" applyBorder="1" applyAlignment="1">
      <alignment horizontal="center"/>
    </xf>
    <xf numFmtId="0" fontId="21" fillId="0" borderId="39" xfId="0" applyFont="1" applyBorder="1"/>
    <xf numFmtId="171" fontId="21" fillId="0" borderId="40" xfId="1" applyNumberFormat="1" applyFont="1" applyBorder="1"/>
    <xf numFmtId="42" fontId="20" fillId="0" borderId="0" xfId="0" applyNumberFormat="1" applyFont="1"/>
    <xf numFmtId="0" fontId="20" fillId="12" borderId="0" xfId="0" applyFont="1" applyFill="1" applyAlignment="1">
      <alignment horizontal="center"/>
    </xf>
    <xf numFmtId="0" fontId="21" fillId="12" borderId="6" xfId="0" applyFont="1" applyFill="1" applyBorder="1"/>
    <xf numFmtId="0" fontId="21" fillId="12" borderId="7" xfId="0" applyFont="1" applyFill="1" applyBorder="1"/>
    <xf numFmtId="0" fontId="21" fillId="12" borderId="8" xfId="0" applyFont="1" applyFill="1" applyBorder="1"/>
    <xf numFmtId="1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1" fillId="12" borderId="12" xfId="0" applyFont="1" applyFill="1" applyBorder="1" applyAlignment="1">
      <alignment horizontal="left"/>
    </xf>
    <xf numFmtId="0" fontId="21" fillId="12" borderId="13" xfId="0" applyFont="1" applyFill="1" applyBorder="1" applyAlignment="1">
      <alignment horizontal="left"/>
    </xf>
    <xf numFmtId="10" fontId="21" fillId="12" borderId="13" xfId="2" applyNumberFormat="1" applyFont="1" applyFill="1" applyBorder="1" applyAlignment="1">
      <alignment horizontal="right"/>
    </xf>
    <xf numFmtId="42" fontId="21" fillId="12" borderId="12" xfId="0" applyNumberFormat="1" applyFont="1" applyFill="1" applyBorder="1"/>
    <xf numFmtId="42" fontId="21" fillId="12" borderId="13" xfId="0" applyNumberFormat="1" applyFont="1" applyFill="1" applyBorder="1"/>
    <xf numFmtId="42" fontId="21" fillId="12" borderId="14" xfId="0" applyNumberFormat="1" applyFont="1" applyFill="1" applyBorder="1"/>
    <xf numFmtId="0" fontId="26" fillId="0" borderId="23" xfId="0" applyFont="1" applyBorder="1"/>
    <xf numFmtId="10" fontId="21" fillId="0" borderId="24" xfId="0" applyNumberFormat="1" applyFont="1" applyBorder="1" applyAlignment="1">
      <alignment horizontal="center"/>
    </xf>
    <xf numFmtId="0" fontId="21" fillId="0" borderId="24" xfId="0" applyFont="1" applyBorder="1"/>
    <xf numFmtId="171" fontId="26" fillId="8" borderId="25" xfId="0" applyNumberFormat="1" applyFont="1" applyFill="1" applyBorder="1"/>
    <xf numFmtId="0" fontId="21" fillId="12" borderId="6" xfId="0" applyFont="1" applyFill="1" applyBorder="1" applyAlignment="1">
      <alignment horizontal="left"/>
    </xf>
    <xf numFmtId="0" fontId="21" fillId="12" borderId="7" xfId="0" applyFont="1" applyFill="1" applyBorder="1" applyAlignment="1">
      <alignment horizontal="left"/>
    </xf>
    <xf numFmtId="171" fontId="21" fillId="0" borderId="7" xfId="0" applyNumberFormat="1" applyFont="1" applyBorder="1" applyAlignment="1">
      <alignment horizontal="right"/>
    </xf>
    <xf numFmtId="6" fontId="21" fillId="12" borderId="7" xfId="0" applyNumberFormat="1" applyFont="1" applyFill="1" applyBorder="1" applyAlignment="1">
      <alignment horizontal="right"/>
    </xf>
    <xf numFmtId="42" fontId="21" fillId="12" borderId="6" xfId="0" applyNumberFormat="1" applyFont="1" applyFill="1" applyBorder="1"/>
    <xf numFmtId="42" fontId="21" fillId="12" borderId="7" xfId="0" applyNumberFormat="1" applyFont="1" applyFill="1" applyBorder="1"/>
    <xf numFmtId="42" fontId="21" fillId="12" borderId="8" xfId="0" applyNumberFormat="1" applyFont="1" applyFill="1" applyBorder="1"/>
    <xf numFmtId="0" fontId="21" fillId="0" borderId="9" xfId="0" applyFont="1" applyBorder="1" applyAlignment="1">
      <alignment horizontal="left"/>
    </xf>
    <xf numFmtId="42" fontId="21" fillId="0" borderId="0" xfId="0" applyNumberFormat="1" applyFont="1" applyAlignment="1">
      <alignment horizontal="right"/>
    </xf>
    <xf numFmtId="10" fontId="21" fillId="0" borderId="0" xfId="2" applyNumberFormat="1" applyFont="1"/>
    <xf numFmtId="10" fontId="21" fillId="12" borderId="0" xfId="2" applyNumberFormat="1" applyFont="1" applyFill="1" applyAlignment="1">
      <alignment horizontal="right"/>
    </xf>
    <xf numFmtId="8" fontId="21" fillId="0" borderId="0" xfId="0" applyNumberFormat="1" applyFont="1"/>
    <xf numFmtId="8" fontId="21" fillId="0" borderId="0" xfId="0" applyNumberFormat="1" applyFont="1" applyAlignment="1">
      <alignment horizontal="right"/>
    </xf>
    <xf numFmtId="0" fontId="21" fillId="12" borderId="28" xfId="0" applyFont="1" applyFill="1" applyBorder="1" applyAlignment="1">
      <alignment horizontal="left"/>
    </xf>
    <xf numFmtId="0" fontId="21" fillId="12" borderId="29" xfId="0" applyFont="1" applyFill="1" applyBorder="1" applyAlignment="1">
      <alignment horizontal="left"/>
    </xf>
    <xf numFmtId="10" fontId="21" fillId="12" borderId="30" xfId="2" applyNumberFormat="1" applyFont="1" applyFill="1" applyBorder="1" applyAlignment="1">
      <alignment horizontal="right"/>
    </xf>
    <xf numFmtId="10" fontId="21" fillId="12" borderId="29" xfId="2" applyNumberFormat="1" applyFont="1" applyFill="1" applyBorder="1" applyAlignment="1">
      <alignment horizontal="right"/>
    </xf>
    <xf numFmtId="0" fontId="21" fillId="12" borderId="29" xfId="0" applyFont="1" applyFill="1" applyBorder="1"/>
    <xf numFmtId="0" fontId="21" fillId="12" borderId="30" xfId="0" applyFont="1" applyFill="1" applyBorder="1"/>
    <xf numFmtId="0" fontId="21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0" fontId="28" fillId="0" borderId="0" xfId="0" applyFont="1"/>
    <xf numFmtId="0" fontId="27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0" fontId="29" fillId="0" borderId="0" xfId="0" applyFont="1"/>
    <xf numFmtId="44" fontId="29" fillId="0" borderId="0" xfId="0" applyNumberFormat="1" applyFont="1"/>
    <xf numFmtId="44" fontId="21" fillId="0" borderId="0" xfId="1" applyFont="1"/>
    <xf numFmtId="0" fontId="27" fillId="0" borderId="0" xfId="0" applyFont="1"/>
    <xf numFmtId="171" fontId="29" fillId="0" borderId="0" xfId="0" applyNumberFormat="1" applyFont="1"/>
    <xf numFmtId="42" fontId="29" fillId="0" borderId="0" xfId="0" applyNumberFormat="1" applyFont="1"/>
    <xf numFmtId="4" fontId="29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73" fontId="21" fillId="0" borderId="0" xfId="0" applyNumberFormat="1" applyFont="1"/>
    <xf numFmtId="42" fontId="27" fillId="0" borderId="0" xfId="0" applyNumberFormat="1" applyFont="1"/>
    <xf numFmtId="4" fontId="27" fillId="0" borderId="0" xfId="0" applyNumberFormat="1" applyFont="1" applyAlignment="1">
      <alignment horizontal="center"/>
    </xf>
    <xf numFmtId="4" fontId="29" fillId="0" borderId="0" xfId="0" applyNumberFormat="1" applyFont="1"/>
    <xf numFmtId="10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6" fontId="29" fillId="0" borderId="0" xfId="0" applyNumberFormat="1" applyFont="1"/>
    <xf numFmtId="173" fontId="29" fillId="0" borderId="0" xfId="0" applyNumberFormat="1" applyFont="1"/>
    <xf numFmtId="0" fontId="29" fillId="0" borderId="0" xfId="0" applyFont="1" applyAlignment="1">
      <alignment vertical="center"/>
    </xf>
    <xf numFmtId="42" fontId="29" fillId="0" borderId="0" xfId="0" applyNumberFormat="1" applyFont="1" applyAlignment="1">
      <alignment vertical="center"/>
    </xf>
    <xf numFmtId="171" fontId="29" fillId="0" borderId="0" xfId="0" applyNumberFormat="1" applyFont="1" applyAlignment="1">
      <alignment vertical="center"/>
    </xf>
    <xf numFmtId="6" fontId="27" fillId="0" borderId="0" xfId="0" applyNumberFormat="1" applyFont="1" applyAlignment="1">
      <alignment horizontal="center"/>
    </xf>
    <xf numFmtId="171" fontId="29" fillId="0" borderId="0" xfId="10" applyNumberFormat="1" applyFont="1"/>
    <xf numFmtId="8" fontId="27" fillId="0" borderId="0" xfId="0" applyNumberFormat="1" applyFont="1" applyAlignment="1">
      <alignment horizontal="center"/>
    </xf>
    <xf numFmtId="10" fontId="29" fillId="0" borderId="0" xfId="2" applyNumberFormat="1" applyFont="1" applyAlignment="1">
      <alignment horizontal="center"/>
    </xf>
    <xf numFmtId="171" fontId="29" fillId="0" borderId="0" xfId="1" applyNumberFormat="1" applyFont="1"/>
    <xf numFmtId="171" fontId="29" fillId="0" borderId="0" xfId="11" applyNumberFormat="1" applyFont="1"/>
    <xf numFmtId="0" fontId="29" fillId="0" borderId="0" xfId="0" applyFont="1" applyAlignment="1">
      <alignment horizontal="left"/>
    </xf>
    <xf numFmtId="171" fontId="27" fillId="0" borderId="0" xfId="0" applyNumberFormat="1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14" fontId="36" fillId="0" borderId="0" xfId="0" applyNumberFormat="1" applyFont="1" applyAlignment="1">
      <alignment horizontal="left"/>
    </xf>
    <xf numFmtId="42" fontId="32" fillId="9" borderId="41" xfId="0" applyNumberFormat="1" applyFont="1" applyFill="1" applyBorder="1" applyAlignment="1">
      <alignment horizontal="center"/>
    </xf>
    <xf numFmtId="0" fontId="38" fillId="9" borderId="15" xfId="0" applyFont="1" applyFill="1" applyBorder="1" applyAlignment="1">
      <alignment horizontal="center"/>
    </xf>
    <xf numFmtId="38" fontId="38" fillId="9" borderId="1" xfId="0" applyNumberFormat="1" applyFont="1" applyFill="1" applyBorder="1" applyAlignment="1">
      <alignment horizontal="center"/>
    </xf>
    <xf numFmtId="0" fontId="38" fillId="9" borderId="1" xfId="0" applyFont="1" applyFill="1" applyBorder="1" applyAlignment="1">
      <alignment horizontal="right"/>
    </xf>
    <xf numFmtId="3" fontId="38" fillId="9" borderId="2" xfId="0" applyNumberFormat="1" applyFont="1" applyFill="1" applyBorder="1" applyAlignment="1">
      <alignment horizontal="center"/>
    </xf>
    <xf numFmtId="0" fontId="21" fillId="0" borderId="28" xfId="0" applyFont="1" applyBorder="1"/>
    <xf numFmtId="0" fontId="20" fillId="0" borderId="29" xfId="0" applyFont="1" applyBorder="1" applyAlignment="1">
      <alignment horizontal="center"/>
    </xf>
    <xf numFmtId="42" fontId="21" fillId="0" borderId="11" xfId="0" applyNumberFormat="1" applyFont="1" applyBorder="1"/>
    <xf numFmtId="0" fontId="37" fillId="0" borderId="32" xfId="0" applyFont="1" applyBorder="1"/>
    <xf numFmtId="0" fontId="37" fillId="0" borderId="1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21" fillId="0" borderId="9" xfId="0" applyFont="1" applyBorder="1"/>
    <xf numFmtId="40" fontId="21" fillId="0" borderId="0" xfId="0" applyNumberFormat="1" applyFont="1" applyAlignment="1">
      <alignment horizontal="center"/>
    </xf>
    <xf numFmtId="42" fontId="21" fillId="0" borderId="34" xfId="0" applyNumberFormat="1" applyFont="1" applyBorder="1"/>
    <xf numFmtId="42" fontId="39" fillId="0" borderId="0" xfId="0" applyNumberFormat="1" applyFont="1"/>
    <xf numFmtId="4" fontId="39" fillId="0" borderId="0" xfId="0" applyNumberFormat="1" applyFont="1" applyAlignment="1">
      <alignment horizontal="center"/>
    </xf>
    <xf numFmtId="42" fontId="39" fillId="0" borderId="3" xfId="0" applyNumberFormat="1" applyFont="1" applyBorder="1"/>
    <xf numFmtId="0" fontId="21" fillId="0" borderId="9" xfId="0" applyFont="1" applyBorder="1" applyAlignment="1">
      <alignment wrapText="1"/>
    </xf>
    <xf numFmtId="0" fontId="39" fillId="0" borderId="23" xfId="0" applyFont="1" applyBorder="1"/>
    <xf numFmtId="42" fontId="39" fillId="0" borderId="24" xfId="0" applyNumberFormat="1" applyFont="1" applyBorder="1"/>
    <xf numFmtId="4" fontId="37" fillId="0" borderId="24" xfId="0" applyNumberFormat="1" applyFont="1" applyBorder="1" applyAlignment="1">
      <alignment horizontal="center"/>
    </xf>
    <xf numFmtId="42" fontId="37" fillId="0" borderId="25" xfId="0" applyNumberFormat="1" applyFont="1" applyBorder="1"/>
    <xf numFmtId="40" fontId="21" fillId="0" borderId="0" xfId="0" applyNumberFormat="1" applyFont="1" applyAlignment="1">
      <alignment horizontal="center" vertical="center"/>
    </xf>
    <xf numFmtId="0" fontId="39" fillId="0" borderId="18" xfId="0" applyFont="1" applyBorder="1"/>
    <xf numFmtId="10" fontId="39" fillId="0" borderId="0" xfId="2" applyNumberFormat="1" applyFont="1" applyAlignment="1">
      <alignment horizontal="center"/>
    </xf>
    <xf numFmtId="0" fontId="21" fillId="0" borderId="11" xfId="0" applyFont="1" applyBorder="1"/>
    <xf numFmtId="0" fontId="37" fillId="0" borderId="36" xfId="0" applyFont="1" applyBorder="1"/>
    <xf numFmtId="0" fontId="37" fillId="0" borderId="29" xfId="0" applyFont="1" applyBorder="1"/>
    <xf numFmtId="4" fontId="39" fillId="0" borderId="29" xfId="0" applyNumberFormat="1" applyFont="1" applyBorder="1" applyAlignment="1">
      <alignment horizontal="center"/>
    </xf>
    <xf numFmtId="42" fontId="37" fillId="0" borderId="37" xfId="0" applyNumberFormat="1" applyFont="1" applyBorder="1"/>
    <xf numFmtId="0" fontId="21" fillId="0" borderId="28" xfId="0" applyFont="1" applyBorder="1" applyAlignment="1">
      <alignment horizontal="left"/>
    </xf>
    <xf numFmtId="10" fontId="21" fillId="0" borderId="30" xfId="0" applyNumberFormat="1" applyFont="1" applyBorder="1" applyAlignment="1">
      <alignment horizontal="center"/>
    </xf>
    <xf numFmtId="0" fontId="40" fillId="12" borderId="33" xfId="0" applyFont="1" applyFill="1" applyBorder="1"/>
    <xf numFmtId="0" fontId="39" fillId="0" borderId="0" xfId="0" applyFont="1"/>
    <xf numFmtId="6" fontId="39" fillId="0" borderId="3" xfId="0" applyNumberFormat="1" applyFont="1" applyBorder="1"/>
    <xf numFmtId="42" fontId="21" fillId="0" borderId="10" xfId="0" applyNumberFormat="1" applyFont="1" applyBorder="1"/>
    <xf numFmtId="42" fontId="40" fillId="12" borderId="3" xfId="0" applyNumberFormat="1" applyFont="1" applyFill="1" applyBorder="1"/>
    <xf numFmtId="42" fontId="21" fillId="0" borderId="10" xfId="0" applyNumberFormat="1" applyFont="1" applyBorder="1" applyAlignment="1">
      <alignment wrapText="1"/>
    </xf>
    <xf numFmtId="0" fontId="39" fillId="0" borderId="29" xfId="0" applyFont="1" applyBorder="1"/>
    <xf numFmtId="44" fontId="37" fillId="0" borderId="29" xfId="0" applyNumberFormat="1" applyFont="1" applyBorder="1"/>
    <xf numFmtId="171" fontId="37" fillId="0" borderId="37" xfId="10" applyNumberFormat="1" applyFont="1" applyBorder="1"/>
    <xf numFmtId="0" fontId="21" fillId="0" borderId="12" xfId="0" applyFont="1" applyBorder="1" applyAlignment="1">
      <alignment horizontal="left"/>
    </xf>
    <xf numFmtId="10" fontId="21" fillId="0" borderId="14" xfId="0" applyNumberFormat="1" applyFont="1" applyBorder="1" applyAlignment="1">
      <alignment horizontal="center"/>
    </xf>
    <xf numFmtId="0" fontId="40" fillId="12" borderId="3" xfId="0" applyFont="1" applyFill="1" applyBorder="1"/>
    <xf numFmtId="0" fontId="39" fillId="0" borderId="7" xfId="0" applyFont="1" applyBorder="1"/>
    <xf numFmtId="10" fontId="39" fillId="0" borderId="7" xfId="0" applyNumberFormat="1" applyFont="1" applyBorder="1" applyAlignment="1">
      <alignment horizontal="center"/>
    </xf>
    <xf numFmtId="171" fontId="37" fillId="0" borderId="38" xfId="10" applyNumberFormat="1" applyFont="1" applyBorder="1"/>
    <xf numFmtId="10" fontId="21" fillId="12" borderId="11" xfId="2" applyNumberFormat="1" applyFont="1" applyFill="1" applyBorder="1" applyAlignment="1">
      <alignment horizontal="center"/>
    </xf>
    <xf numFmtId="0" fontId="21" fillId="12" borderId="11" xfId="0" applyFont="1" applyFill="1" applyBorder="1"/>
    <xf numFmtId="10" fontId="39" fillId="0" borderId="39" xfId="0" applyNumberFormat="1" applyFont="1" applyBorder="1" applyAlignment="1">
      <alignment horizontal="center"/>
    </xf>
    <xf numFmtId="42" fontId="39" fillId="0" borderId="40" xfId="0" applyNumberFormat="1" applyFont="1" applyBorder="1"/>
    <xf numFmtId="0" fontId="21" fillId="12" borderId="11" xfId="0" applyFont="1" applyFill="1" applyBorder="1" applyAlignment="1">
      <alignment horizontal="left"/>
    </xf>
    <xf numFmtId="10" fontId="21" fillId="12" borderId="11" xfId="0" applyNumberFormat="1" applyFont="1" applyFill="1" applyBorder="1" applyAlignment="1">
      <alignment horizontal="center"/>
    </xf>
    <xf numFmtId="0" fontId="39" fillId="0" borderId="42" xfId="0" applyFont="1" applyBorder="1"/>
    <xf numFmtId="0" fontId="39" fillId="0" borderId="43" xfId="0" applyFont="1" applyBorder="1" applyAlignment="1">
      <alignment horizontal="center"/>
    </xf>
    <xf numFmtId="0" fontId="39" fillId="0" borderId="43" xfId="0" applyFont="1" applyBorder="1"/>
    <xf numFmtId="42" fontId="39" fillId="0" borderId="44" xfId="0" applyNumberFormat="1" applyFont="1" applyBorder="1"/>
    <xf numFmtId="0" fontId="41" fillId="0" borderId="23" xfId="0" applyFont="1" applyBorder="1"/>
    <xf numFmtId="0" fontId="34" fillId="0" borderId="24" xfId="0" applyFont="1" applyBorder="1"/>
    <xf numFmtId="44" fontId="41" fillId="8" borderId="25" xfId="0" applyNumberFormat="1" applyFont="1" applyFill="1" applyBorder="1"/>
    <xf numFmtId="44" fontId="34" fillId="0" borderId="0" xfId="1" applyFont="1"/>
    <xf numFmtId="10" fontId="34" fillId="0" borderId="0" xfId="2" applyNumberFormat="1" applyFont="1"/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3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right"/>
    </xf>
    <xf numFmtId="3" fontId="38" fillId="0" borderId="0" xfId="0" applyNumberFormat="1" applyFont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20" fillId="13" borderId="0" xfId="0" applyFont="1" applyFill="1" applyAlignment="1">
      <alignment horizontal="left"/>
    </xf>
    <xf numFmtId="171" fontId="39" fillId="0" borderId="0" xfId="0" applyNumberFormat="1" applyFont="1"/>
    <xf numFmtId="42" fontId="37" fillId="0" borderId="0" xfId="0" applyNumberFormat="1" applyFont="1"/>
    <xf numFmtId="10" fontId="39" fillId="0" borderId="0" xfId="0" applyNumberFormat="1" applyFont="1" applyAlignment="1">
      <alignment horizontal="center"/>
    </xf>
    <xf numFmtId="4" fontId="39" fillId="0" borderId="0" xfId="0" applyNumberFormat="1" applyFont="1"/>
    <xf numFmtId="6" fontId="39" fillId="0" borderId="0" xfId="0" applyNumberFormat="1" applyFont="1" applyAlignment="1">
      <alignment horizontal="center"/>
    </xf>
    <xf numFmtId="6" fontId="39" fillId="0" borderId="0" xfId="0" applyNumberFormat="1" applyFont="1"/>
    <xf numFmtId="44" fontId="37" fillId="0" borderId="0" xfId="0" applyNumberFormat="1" applyFont="1"/>
    <xf numFmtId="171" fontId="37" fillId="0" borderId="0" xfId="10" applyNumberFormat="1" applyFont="1"/>
    <xf numFmtId="0" fontId="39" fillId="0" borderId="0" xfId="0" applyFont="1" applyAlignment="1">
      <alignment horizontal="center"/>
    </xf>
    <xf numFmtId="0" fontId="41" fillId="0" borderId="0" xfId="0" applyFont="1"/>
    <xf numFmtId="44" fontId="41" fillId="0" borderId="0" xfId="0" applyNumberFormat="1" applyFont="1"/>
    <xf numFmtId="6" fontId="33" fillId="0" borderId="0" xfId="0" applyNumberFormat="1" applyFont="1"/>
    <xf numFmtId="174" fontId="33" fillId="0" borderId="0" xfId="0" applyNumberFormat="1" applyFont="1"/>
    <xf numFmtId="0" fontId="33" fillId="0" borderId="0" xfId="0" applyFont="1" applyAlignment="1">
      <alignment horizontal="center"/>
    </xf>
    <xf numFmtId="2" fontId="33" fillId="0" borderId="0" xfId="2" applyNumberFormat="1" applyFont="1"/>
    <xf numFmtId="6" fontId="32" fillId="0" borderId="0" xfId="0" applyNumberFormat="1" applyFont="1"/>
    <xf numFmtId="38" fontId="32" fillId="0" borderId="0" xfId="0" applyNumberFormat="1" applyFont="1" applyAlignment="1">
      <alignment horizontal="center"/>
    </xf>
    <xf numFmtId="0" fontId="38" fillId="0" borderId="23" xfId="0" applyFont="1" applyBorder="1" applyAlignment="1">
      <alignment horizontal="center"/>
    </xf>
    <xf numFmtId="38" fontId="38" fillId="0" borderId="24" xfId="0" applyNumberFormat="1" applyFont="1" applyBorder="1" applyAlignment="1">
      <alignment horizontal="center"/>
    </xf>
    <xf numFmtId="0" fontId="34" fillId="0" borderId="25" xfId="0" applyFont="1" applyBorder="1"/>
    <xf numFmtId="42" fontId="32" fillId="0" borderId="0" xfId="0" applyNumberFormat="1" applyFont="1"/>
    <xf numFmtId="4" fontId="32" fillId="0" borderId="0" xfId="0" applyNumberFormat="1" applyFont="1"/>
    <xf numFmtId="171" fontId="32" fillId="0" borderId="0" xfId="0" applyNumberFormat="1" applyFont="1"/>
    <xf numFmtId="6" fontId="32" fillId="0" borderId="0" xfId="0" applyNumberFormat="1" applyFont="1" applyAlignment="1">
      <alignment horizontal="center"/>
    </xf>
    <xf numFmtId="0" fontId="21" fillId="0" borderId="36" xfId="0" applyFont="1" applyBorder="1"/>
    <xf numFmtId="42" fontId="21" fillId="0" borderId="29" xfId="0" applyNumberFormat="1" applyFont="1" applyBorder="1" applyAlignment="1">
      <alignment horizontal="center"/>
    </xf>
    <xf numFmtId="42" fontId="21" fillId="0" borderId="37" xfId="0" applyNumberFormat="1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38" fontId="37" fillId="0" borderId="24" xfId="0" applyNumberFormat="1" applyFont="1" applyBorder="1" applyAlignment="1">
      <alignment horizontal="center"/>
    </xf>
    <xf numFmtId="0" fontId="39" fillId="0" borderId="24" xfId="0" applyFont="1" applyBorder="1"/>
    <xf numFmtId="0" fontId="39" fillId="0" borderId="25" xfId="0" applyFont="1" applyBorder="1"/>
    <xf numFmtId="42" fontId="21" fillId="0" borderId="6" xfId="0" applyNumberFormat="1" applyFont="1" applyBorder="1" applyAlignment="1">
      <alignment horizontal="left"/>
    </xf>
    <xf numFmtId="42" fontId="21" fillId="0" borderId="7" xfId="0" applyNumberFormat="1" applyFont="1" applyBorder="1" applyAlignment="1">
      <alignment horizontal="center"/>
    </xf>
    <xf numFmtId="42" fontId="21" fillId="0" borderId="3" xfId="0" applyNumberFormat="1" applyFont="1" applyBorder="1" applyAlignment="1">
      <alignment horizontal="center"/>
    </xf>
    <xf numFmtId="0" fontId="37" fillId="0" borderId="24" xfId="0" applyFont="1" applyBorder="1" applyAlignment="1">
      <alignment horizontal="right"/>
    </xf>
    <xf numFmtId="3" fontId="37" fillId="0" borderId="25" xfId="0" applyNumberFormat="1" applyFont="1" applyBorder="1" applyAlignment="1">
      <alignment horizontal="center"/>
    </xf>
    <xf numFmtId="42" fontId="21" fillId="0" borderId="3" xfId="0" applyNumberFormat="1" applyFont="1" applyBorder="1"/>
    <xf numFmtId="0" fontId="37" fillId="0" borderId="16" xfId="0" applyFont="1" applyBorder="1" applyAlignment="1">
      <alignment horizontal="center"/>
    </xf>
    <xf numFmtId="42" fontId="33" fillId="0" borderId="0" xfId="0" applyNumberFormat="1" applyFont="1"/>
    <xf numFmtId="4" fontId="33" fillId="0" borderId="0" xfId="0" applyNumberFormat="1" applyFont="1"/>
    <xf numFmtId="171" fontId="33" fillId="0" borderId="0" xfId="0" applyNumberFormat="1" applyFont="1"/>
    <xf numFmtId="0" fontId="21" fillId="0" borderId="18" xfId="0" applyFont="1" applyBorder="1" applyAlignment="1">
      <alignment wrapText="1"/>
    </xf>
    <xf numFmtId="171" fontId="39" fillId="0" borderId="0" xfId="1" applyNumberFormat="1" applyFont="1"/>
    <xf numFmtId="2" fontId="39" fillId="0" borderId="0" xfId="0" applyNumberFormat="1" applyFont="1" applyAlignment="1">
      <alignment horizontal="center"/>
    </xf>
    <xf numFmtId="171" fontId="39" fillId="0" borderId="3" xfId="0" applyNumberFormat="1" applyFont="1" applyBorder="1" applyAlignment="1">
      <alignment horizontal="center"/>
    </xf>
    <xf numFmtId="42" fontId="21" fillId="0" borderId="9" xfId="0" applyNumberFormat="1" applyFont="1" applyBorder="1"/>
    <xf numFmtId="0" fontId="39" fillId="0" borderId="17" xfId="0" applyFont="1" applyBorder="1"/>
    <xf numFmtId="171" fontId="39" fillId="0" borderId="4" xfId="1" applyNumberFormat="1" applyFont="1" applyBorder="1"/>
    <xf numFmtId="2" fontId="39" fillId="0" borderId="4" xfId="0" applyNumberFormat="1" applyFont="1" applyBorder="1" applyAlignment="1">
      <alignment horizontal="center"/>
    </xf>
    <xf numFmtId="171" fontId="39" fillId="0" borderId="5" xfId="0" applyNumberFormat="1" applyFont="1" applyBorder="1" applyAlignment="1">
      <alignment horizontal="center"/>
    </xf>
    <xf numFmtId="0" fontId="37" fillId="0" borderId="23" xfId="0" applyFont="1" applyBorder="1"/>
    <xf numFmtId="171" fontId="37" fillId="0" borderId="24" xfId="1" applyNumberFormat="1" applyFont="1" applyBorder="1"/>
    <xf numFmtId="2" fontId="37" fillId="0" borderId="24" xfId="0" applyNumberFormat="1" applyFont="1" applyBorder="1" applyAlignment="1">
      <alignment horizontal="center"/>
    </xf>
    <xf numFmtId="171" fontId="37" fillId="0" borderId="25" xfId="0" applyNumberFormat="1" applyFont="1" applyBorder="1" applyAlignment="1">
      <alignment horizontal="center"/>
    </xf>
    <xf numFmtId="42" fontId="21" fillId="0" borderId="12" xfId="0" applyNumberFormat="1" applyFont="1" applyBorder="1"/>
    <xf numFmtId="42" fontId="21" fillId="0" borderId="13" xfId="0" applyNumberFormat="1" applyFont="1" applyBorder="1"/>
    <xf numFmtId="0" fontId="21" fillId="0" borderId="29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6" xfId="0" applyFont="1" applyBorder="1" applyAlignment="1">
      <alignment horizontal="left"/>
    </xf>
    <xf numFmtId="10" fontId="21" fillId="0" borderId="29" xfId="0" applyNumberFormat="1" applyFont="1" applyBorder="1" applyAlignment="1">
      <alignment horizontal="center"/>
    </xf>
    <xf numFmtId="42" fontId="21" fillId="0" borderId="28" xfId="0" applyNumberFormat="1" applyFont="1" applyBorder="1"/>
    <xf numFmtId="42" fontId="21" fillId="0" borderId="29" xfId="0" applyNumberFormat="1" applyFont="1" applyBorder="1"/>
    <xf numFmtId="42" fontId="21" fillId="0" borderId="37" xfId="0" applyNumberFormat="1" applyFont="1" applyBorder="1"/>
    <xf numFmtId="0" fontId="21" fillId="0" borderId="18" xfId="0" applyFont="1" applyBorder="1" applyAlignment="1">
      <alignment horizontal="left"/>
    </xf>
    <xf numFmtId="171" fontId="21" fillId="0" borderId="0" xfId="1" applyNumberFormat="1" applyFont="1"/>
    <xf numFmtId="42" fontId="40" fillId="0" borderId="9" xfId="0" applyNumberFormat="1" applyFont="1" applyBorder="1"/>
    <xf numFmtId="42" fontId="40" fillId="0" borderId="0" xfId="0" applyNumberFormat="1" applyFont="1"/>
    <xf numFmtId="42" fontId="40" fillId="0" borderId="3" xfId="0" applyNumberFormat="1" applyFont="1" applyBorder="1"/>
    <xf numFmtId="172" fontId="39" fillId="0" borderId="0" xfId="0" applyNumberFormat="1" applyFont="1" applyAlignment="1">
      <alignment horizontal="center"/>
    </xf>
    <xf numFmtId="44" fontId="33" fillId="0" borderId="0" xfId="0" applyNumberFormat="1" applyFont="1"/>
    <xf numFmtId="0" fontId="21" fillId="0" borderId="32" xfId="0" applyFont="1" applyBorder="1" applyAlignment="1">
      <alignment horizontal="left"/>
    </xf>
    <xf numFmtId="10" fontId="21" fillId="0" borderId="13" xfId="0" applyNumberFormat="1" applyFont="1" applyBorder="1" applyAlignment="1">
      <alignment horizontal="center"/>
    </xf>
    <xf numFmtId="42" fontId="21" fillId="0" borderId="33" xfId="0" applyNumberFormat="1" applyFont="1" applyBorder="1"/>
    <xf numFmtId="0" fontId="39" fillId="0" borderId="29" xfId="0" applyFont="1" applyBorder="1" applyAlignment="1">
      <alignment horizontal="center"/>
    </xf>
    <xf numFmtId="0" fontId="40" fillId="0" borderId="23" xfId="0" applyFont="1" applyBorder="1"/>
    <xf numFmtId="10" fontId="21" fillId="12" borderId="24" xfId="0" applyNumberFormat="1" applyFont="1" applyFill="1" applyBorder="1" applyAlignment="1">
      <alignment horizontal="center"/>
    </xf>
    <xf numFmtId="0" fontId="21" fillId="12" borderId="24" xfId="0" applyFont="1" applyFill="1" applyBorder="1"/>
    <xf numFmtId="42" fontId="21" fillId="0" borderId="4" xfId="0" applyNumberFormat="1" applyFont="1" applyBorder="1"/>
    <xf numFmtId="42" fontId="21" fillId="0" borderId="5" xfId="0" applyNumberFormat="1" applyFont="1" applyBorder="1"/>
    <xf numFmtId="0" fontId="39" fillId="0" borderId="7" xfId="0" applyFont="1" applyBorder="1" applyAlignment="1">
      <alignment horizontal="center"/>
    </xf>
    <xf numFmtId="10" fontId="39" fillId="0" borderId="7" xfId="0" applyNumberFormat="1" applyFont="1" applyBorder="1"/>
    <xf numFmtId="171" fontId="39" fillId="0" borderId="38" xfId="10" applyNumberFormat="1" applyFont="1" applyBorder="1"/>
    <xf numFmtId="10" fontId="39" fillId="0" borderId="39" xfId="0" applyNumberFormat="1" applyFont="1" applyBorder="1"/>
    <xf numFmtId="174" fontId="32" fillId="0" borderId="0" xfId="0" applyNumberFormat="1" applyFont="1" applyAlignment="1">
      <alignment horizontal="center"/>
    </xf>
    <xf numFmtId="10" fontId="33" fillId="0" borderId="0" xfId="2" applyNumberFormat="1" applyFont="1" applyAlignment="1">
      <alignment horizontal="center"/>
    </xf>
    <xf numFmtId="0" fontId="37" fillId="0" borderId="4" xfId="0" applyFont="1" applyBorder="1"/>
    <xf numFmtId="42" fontId="39" fillId="0" borderId="5" xfId="0" applyNumberFormat="1" applyFont="1" applyBorder="1"/>
    <xf numFmtId="0" fontId="40" fillId="0" borderId="0" xfId="0" applyFont="1"/>
    <xf numFmtId="171" fontId="37" fillId="8" borderId="47" xfId="0" applyNumberFormat="1" applyFont="1" applyFill="1" applyBorder="1"/>
    <xf numFmtId="6" fontId="34" fillId="0" borderId="0" xfId="0" applyNumberFormat="1" applyFont="1"/>
    <xf numFmtId="3" fontId="34" fillId="0" borderId="0" xfId="0" applyNumberFormat="1" applyFont="1"/>
    <xf numFmtId="0" fontId="42" fillId="0" borderId="0" xfId="0" applyFont="1"/>
    <xf numFmtId="0" fontId="43" fillId="0" borderId="0" xfId="0" applyFont="1"/>
    <xf numFmtId="2" fontId="33" fillId="0" borderId="0" xfId="0" applyNumberFormat="1" applyFont="1"/>
    <xf numFmtId="174" fontId="42" fillId="0" borderId="0" xfId="0" applyNumberFormat="1" applyFont="1" applyAlignment="1">
      <alignment horizontal="center"/>
    </xf>
    <xf numFmtId="38" fontId="42" fillId="0" borderId="0" xfId="0" applyNumberFormat="1" applyFont="1" applyAlignment="1">
      <alignment horizontal="center"/>
    </xf>
    <xf numFmtId="174" fontId="34" fillId="0" borderId="0" xfId="0" applyNumberFormat="1" applyFont="1"/>
    <xf numFmtId="0" fontId="42" fillId="0" borderId="0" xfId="0" applyFont="1" applyAlignment="1">
      <alignment horizontal="right"/>
    </xf>
    <xf numFmtId="38" fontId="42" fillId="0" borderId="0" xfId="0" applyNumberFormat="1" applyFont="1" applyAlignment="1">
      <alignment horizontal="left"/>
    </xf>
    <xf numFmtId="0" fontId="4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6" fontId="42" fillId="0" borderId="0" xfId="0" applyNumberFormat="1" applyFont="1" applyAlignment="1">
      <alignment horizontal="center"/>
    </xf>
    <xf numFmtId="10" fontId="42" fillId="0" borderId="0" xfId="2" applyNumberFormat="1" applyFont="1" applyAlignment="1">
      <alignment horizontal="center"/>
    </xf>
    <xf numFmtId="0" fontId="43" fillId="0" borderId="0" xfId="0" applyFont="1" applyAlignment="1">
      <alignment horizontal="right"/>
    </xf>
    <xf numFmtId="6" fontId="43" fillId="0" borderId="0" xfId="0" applyNumberFormat="1" applyFont="1"/>
    <xf numFmtId="174" fontId="43" fillId="0" borderId="0" xfId="0" applyNumberFormat="1" applyFont="1"/>
    <xf numFmtId="6" fontId="42" fillId="0" borderId="0" xfId="0" applyNumberFormat="1" applyFont="1"/>
    <xf numFmtId="2" fontId="33" fillId="0" borderId="0" xfId="0" applyNumberFormat="1" applyFont="1" applyAlignment="1">
      <alignment horizontal="center"/>
    </xf>
    <xf numFmtId="40" fontId="42" fillId="0" borderId="0" xfId="0" applyNumberFormat="1" applyFont="1"/>
    <xf numFmtId="40" fontId="32" fillId="0" borderId="0" xfId="0" applyNumberFormat="1" applyFont="1"/>
    <xf numFmtId="174" fontId="43" fillId="0" borderId="0" xfId="0" applyNumberFormat="1" applyFont="1" applyAlignment="1">
      <alignment horizontal="center"/>
    </xf>
    <xf numFmtId="174" fontId="42" fillId="0" borderId="0" xfId="0" applyNumberFormat="1" applyFont="1"/>
    <xf numFmtId="10" fontId="43" fillId="0" borderId="0" xfId="2" applyNumberFormat="1" applyFont="1"/>
    <xf numFmtId="0" fontId="32" fillId="13" borderId="0" xfId="0" applyFont="1" applyFill="1" applyAlignment="1">
      <alignment horizontal="center" wrapText="1"/>
    </xf>
    <xf numFmtId="0" fontId="32" fillId="0" borderId="0" xfId="0" applyFont="1" applyAlignment="1">
      <alignment horizontal="right"/>
    </xf>
    <xf numFmtId="8" fontId="42" fillId="0" borderId="0" xfId="0" applyNumberFormat="1" applyFont="1" applyAlignment="1">
      <alignment horizontal="center"/>
    </xf>
    <xf numFmtId="6" fontId="42" fillId="0" borderId="0" xfId="2" applyNumberFormat="1" applyFont="1" applyAlignment="1">
      <alignment horizontal="center"/>
    </xf>
    <xf numFmtId="6" fontId="33" fillId="0" borderId="0" xfId="0" applyNumberFormat="1" applyFont="1" applyAlignment="1">
      <alignment horizontal="right"/>
    </xf>
    <xf numFmtId="0" fontId="44" fillId="0" borderId="0" xfId="0" applyFont="1"/>
    <xf numFmtId="0" fontId="45" fillId="0" borderId="0" xfId="0" applyFont="1" applyAlignment="1">
      <alignment horizontal="left"/>
    </xf>
    <xf numFmtId="0" fontId="45" fillId="0" borderId="0" xfId="0" applyFont="1"/>
    <xf numFmtId="14" fontId="46" fillId="0" borderId="0" xfId="0" applyNumberFormat="1" applyFont="1" applyAlignment="1">
      <alignment horizontal="left"/>
    </xf>
    <xf numFmtId="0" fontId="47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42" fontId="44" fillId="9" borderId="48" xfId="0" applyNumberFormat="1" applyFont="1" applyFill="1" applyBorder="1" applyAlignment="1">
      <alignment horizontal="center"/>
    </xf>
    <xf numFmtId="0" fontId="38" fillId="9" borderId="1" xfId="0" applyFont="1" applyFill="1" applyBorder="1" applyAlignment="1">
      <alignment horizontal="center"/>
    </xf>
    <xf numFmtId="0" fontId="40" fillId="0" borderId="32" xfId="0" applyFont="1" applyBorder="1"/>
    <xf numFmtId="0" fontId="26" fillId="0" borderId="13" xfId="0" applyFont="1" applyBorder="1" applyAlignment="1">
      <alignment horizontal="center"/>
    </xf>
    <xf numFmtId="42" fontId="40" fillId="0" borderId="49" xfId="0" applyNumberFormat="1" applyFont="1" applyBorder="1"/>
    <xf numFmtId="0" fontId="40" fillId="0" borderId="35" xfId="0" applyFont="1" applyBorder="1"/>
    <xf numFmtId="40" fontId="40" fillId="0" borderId="0" xfId="0" applyNumberFormat="1" applyFont="1" applyAlignment="1">
      <alignment horizontal="center"/>
    </xf>
    <xf numFmtId="42" fontId="40" fillId="0" borderId="50" xfId="0" applyNumberFormat="1" applyFont="1" applyBorder="1"/>
    <xf numFmtId="0" fontId="40" fillId="0" borderId="18" xfId="0" applyFont="1" applyBorder="1" applyAlignment="1">
      <alignment wrapText="1"/>
    </xf>
    <xf numFmtId="0" fontId="40" fillId="0" borderId="18" xfId="0" applyFont="1" applyBorder="1"/>
    <xf numFmtId="42" fontId="37" fillId="0" borderId="24" xfId="0" applyNumberFormat="1" applyFont="1" applyBorder="1"/>
    <xf numFmtId="0" fontId="40" fillId="0" borderId="49" xfId="0" applyFont="1" applyBorder="1"/>
    <xf numFmtId="0" fontId="40" fillId="0" borderId="36" xfId="0" applyFont="1" applyBorder="1" applyAlignment="1">
      <alignment horizontal="left"/>
    </xf>
    <xf numFmtId="10" fontId="40" fillId="0" borderId="30" xfId="0" applyNumberFormat="1" applyFont="1" applyBorder="1" applyAlignment="1">
      <alignment horizontal="center"/>
    </xf>
    <xf numFmtId="0" fontId="40" fillId="12" borderId="37" xfId="0" applyFont="1" applyFill="1" applyBorder="1"/>
    <xf numFmtId="0" fontId="40" fillId="0" borderId="18" xfId="0" applyFont="1" applyBorder="1" applyAlignment="1">
      <alignment horizontal="left"/>
    </xf>
    <xf numFmtId="42" fontId="40" fillId="0" borderId="10" xfId="0" applyNumberFormat="1" applyFont="1" applyBorder="1"/>
    <xf numFmtId="42" fontId="40" fillId="0" borderId="3" xfId="0" applyNumberFormat="1" applyFont="1" applyBorder="1" applyAlignment="1">
      <alignment wrapText="1"/>
    </xf>
    <xf numFmtId="0" fontId="39" fillId="0" borderId="18" xfId="0" applyFont="1" applyBorder="1" applyAlignment="1">
      <alignment horizontal="left"/>
    </xf>
    <xf numFmtId="42" fontId="39" fillId="0" borderId="0" xfId="0" applyNumberFormat="1" applyFont="1" applyAlignment="1">
      <alignment horizontal="center"/>
    </xf>
    <xf numFmtId="44" fontId="45" fillId="0" borderId="0" xfId="0" applyNumberFormat="1" applyFont="1"/>
    <xf numFmtId="0" fontId="40" fillId="0" borderId="32" xfId="0" applyFont="1" applyBorder="1" applyAlignment="1">
      <alignment horizontal="left"/>
    </xf>
    <xf numFmtId="42" fontId="40" fillId="0" borderId="14" xfId="0" applyNumberFormat="1" applyFont="1" applyBorder="1"/>
    <xf numFmtId="42" fontId="40" fillId="0" borderId="33" xfId="0" applyNumberFormat="1" applyFont="1" applyBorder="1" applyAlignment="1">
      <alignment wrapText="1"/>
    </xf>
    <xf numFmtId="10" fontId="40" fillId="0" borderId="14" xfId="0" applyNumberFormat="1" applyFont="1" applyBorder="1" applyAlignment="1">
      <alignment horizontal="center"/>
    </xf>
    <xf numFmtId="42" fontId="40" fillId="0" borderId="33" xfId="0" applyNumberFormat="1" applyFont="1" applyBorder="1"/>
    <xf numFmtId="0" fontId="40" fillId="12" borderId="23" xfId="0" applyFont="1" applyFill="1" applyBorder="1" applyAlignment="1">
      <alignment horizontal="left"/>
    </xf>
    <xf numFmtId="10" fontId="40" fillId="12" borderId="24" xfId="0" applyNumberFormat="1" applyFont="1" applyFill="1" applyBorder="1" applyAlignment="1">
      <alignment horizontal="center"/>
    </xf>
    <xf numFmtId="0" fontId="40" fillId="12" borderId="51" xfId="0" applyFont="1" applyFill="1" applyBorder="1"/>
    <xf numFmtId="0" fontId="39" fillId="0" borderId="39" xfId="0" applyFont="1" applyBorder="1"/>
    <xf numFmtId="171" fontId="37" fillId="0" borderId="40" xfId="10" applyNumberFormat="1" applyFont="1" applyBorder="1"/>
    <xf numFmtId="0" fontId="37" fillId="0" borderId="43" xfId="0" applyFont="1" applyBorder="1"/>
    <xf numFmtId="10" fontId="37" fillId="0" borderId="43" xfId="0" applyNumberFormat="1" applyFont="1" applyBorder="1"/>
    <xf numFmtId="171" fontId="39" fillId="0" borderId="44" xfId="10" applyNumberFormat="1" applyFont="1" applyBorder="1"/>
    <xf numFmtId="171" fontId="39" fillId="0" borderId="25" xfId="0" applyNumberFormat="1" applyFont="1" applyBorder="1"/>
    <xf numFmtId="44" fontId="37" fillId="8" borderId="25" xfId="0" applyNumberFormat="1" applyFont="1" applyFill="1" applyBorder="1"/>
    <xf numFmtId="44" fontId="39" fillId="0" borderId="0" xfId="0" applyNumberFormat="1" applyFont="1"/>
    <xf numFmtId="10" fontId="39" fillId="0" borderId="0" xfId="2" applyNumberFormat="1" applyFont="1"/>
    <xf numFmtId="0" fontId="32" fillId="0" borderId="0" xfId="0" applyFont="1" applyAlignment="1">
      <alignment horizontal="center" wrapText="1"/>
    </xf>
    <xf numFmtId="42" fontId="49" fillId="0" borderId="0" xfId="0" applyNumberFormat="1" applyFont="1"/>
    <xf numFmtId="0" fontId="50" fillId="0" borderId="0" xfId="0" applyFont="1" applyAlignment="1">
      <alignment horizontal="center"/>
    </xf>
    <xf numFmtId="38" fontId="50" fillId="0" borderId="0" xfId="0" applyNumberFormat="1" applyFont="1" applyAlignment="1">
      <alignment horizontal="center"/>
    </xf>
    <xf numFmtId="3" fontId="50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4" fontId="40" fillId="0" borderId="0" xfId="0" applyNumberFormat="1" applyFont="1" applyAlignment="1">
      <alignment horizontal="center"/>
    </xf>
    <xf numFmtId="171" fontId="40" fillId="0" borderId="0" xfId="0" applyNumberFormat="1" applyFont="1"/>
    <xf numFmtId="42" fontId="26" fillId="0" borderId="0" xfId="0" applyNumberFormat="1" applyFont="1"/>
    <xf numFmtId="10" fontId="40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4" fontId="40" fillId="0" borderId="0" xfId="0" applyNumberFormat="1" applyFont="1"/>
    <xf numFmtId="6" fontId="40" fillId="0" borderId="0" xfId="0" applyNumberFormat="1" applyFont="1" applyAlignment="1">
      <alignment horizontal="center"/>
    </xf>
    <xf numFmtId="42" fontId="40" fillId="0" borderId="0" xfId="0" applyNumberFormat="1" applyFont="1" applyAlignment="1">
      <alignment horizontal="center"/>
    </xf>
    <xf numFmtId="44" fontId="26" fillId="0" borderId="0" xfId="0" applyNumberFormat="1" applyFont="1"/>
    <xf numFmtId="171" fontId="26" fillId="0" borderId="0" xfId="10" applyNumberFormat="1" applyFont="1"/>
    <xf numFmtId="10" fontId="40" fillId="0" borderId="0" xfId="0" applyNumberFormat="1" applyFont="1"/>
    <xf numFmtId="171" fontId="40" fillId="0" borderId="0" xfId="10" applyNumberFormat="1" applyFont="1"/>
    <xf numFmtId="10" fontId="40" fillId="0" borderId="0" xfId="2" applyNumberFormat="1" applyFont="1"/>
    <xf numFmtId="0" fontId="3" fillId="2" borderId="1" xfId="3" applyFont="1" applyFill="1" applyBorder="1" applyAlignment="1">
      <alignment horizontal="left"/>
    </xf>
    <xf numFmtId="0" fontId="3" fillId="2" borderId="2" xfId="3" applyFont="1" applyFill="1" applyBorder="1" applyAlignment="1">
      <alignment horizontal="left"/>
    </xf>
    <xf numFmtId="0" fontId="8" fillId="0" borderId="9" xfId="5" applyBorder="1" applyAlignment="1">
      <alignment horizontal="right"/>
    </xf>
    <xf numFmtId="0" fontId="8" fillId="0" borderId="0" xfId="5" applyAlignment="1">
      <alignment horizontal="right"/>
    </xf>
    <xf numFmtId="0" fontId="12" fillId="0" borderId="2" xfId="7" applyFont="1" applyBorder="1" applyAlignment="1">
      <alignment horizontal="left" vertical="center" wrapText="1"/>
    </xf>
    <xf numFmtId="0" fontId="12" fillId="0" borderId="5" xfId="7" applyFont="1" applyBorder="1" applyAlignment="1">
      <alignment horizontal="left" vertical="center" wrapText="1"/>
    </xf>
    <xf numFmtId="0" fontId="12" fillId="0" borderId="1" xfId="7" applyFont="1" applyBorder="1" applyAlignment="1">
      <alignment horizontal="left" vertical="top" wrapText="1"/>
    </xf>
    <xf numFmtId="0" fontId="12" fillId="0" borderId="4" xfId="7" applyFont="1" applyBorder="1" applyAlignment="1">
      <alignment horizontal="left" vertical="top" wrapText="1"/>
    </xf>
    <xf numFmtId="0" fontId="12" fillId="0" borderId="3" xfId="7" applyFont="1" applyBorder="1" applyAlignment="1">
      <alignment horizontal="left" vertical="center" wrapText="1"/>
    </xf>
    <xf numFmtId="49" fontId="12" fillId="0" borderId="2" xfId="7" applyNumberFormat="1" applyFont="1" applyBorder="1" applyAlignment="1">
      <alignment horizontal="left" vertical="center" wrapText="1"/>
    </xf>
    <xf numFmtId="49" fontId="12" fillId="0" borderId="5" xfId="7" applyNumberFormat="1" applyFont="1" applyBorder="1" applyAlignment="1">
      <alignment horizontal="left" vertical="center" wrapText="1"/>
    </xf>
    <xf numFmtId="0" fontId="12" fillId="0" borderId="1" xfId="7" applyFont="1" applyBorder="1" applyAlignment="1">
      <alignment vertical="top" wrapText="1"/>
    </xf>
    <xf numFmtId="0" fontId="12" fillId="0" borderId="4" xfId="7" applyFont="1" applyBorder="1" applyAlignment="1">
      <alignment vertical="top" wrapText="1"/>
    </xf>
    <xf numFmtId="0" fontId="12" fillId="0" borderId="0" xfId="7" applyFont="1" applyAlignment="1">
      <alignment horizontal="left" vertical="top" wrapText="1"/>
    </xf>
    <xf numFmtId="0" fontId="12" fillId="0" borderId="0" xfId="7" applyFont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27" fillId="0" borderId="0" xfId="0" applyFont="1" applyAlignment="1">
      <alignment horizontal="center" vertical="top"/>
    </xf>
    <xf numFmtId="0" fontId="20" fillId="9" borderId="20" xfId="0" applyFont="1" applyFill="1" applyBorder="1" applyAlignment="1">
      <alignment horizontal="center"/>
    </xf>
    <xf numFmtId="0" fontId="20" fillId="9" borderId="21" xfId="0" applyFont="1" applyFill="1" applyBorder="1" applyAlignment="1">
      <alignment horizontal="center"/>
    </xf>
    <xf numFmtId="0" fontId="20" fillId="9" borderId="22" xfId="0" applyFont="1" applyFill="1" applyBorder="1" applyAlignment="1">
      <alignment horizontal="center"/>
    </xf>
    <xf numFmtId="0" fontId="20" fillId="9" borderId="23" xfId="0" applyFont="1" applyFill="1" applyBorder="1" applyAlignment="1">
      <alignment horizontal="center" vertical="top"/>
    </xf>
    <xf numFmtId="0" fontId="20" fillId="9" borderId="24" xfId="0" applyFont="1" applyFill="1" applyBorder="1" applyAlignment="1">
      <alignment horizontal="center" vertical="top"/>
    </xf>
    <xf numFmtId="0" fontId="20" fillId="9" borderId="25" xfId="0" applyFont="1" applyFill="1" applyBorder="1" applyAlignment="1">
      <alignment horizontal="center" vertical="top"/>
    </xf>
    <xf numFmtId="0" fontId="20" fillId="10" borderId="23" xfId="0" applyFont="1" applyFill="1" applyBorder="1" applyAlignment="1">
      <alignment horizontal="center" vertical="top"/>
    </xf>
    <xf numFmtId="0" fontId="20" fillId="10" borderId="24" xfId="0" applyFont="1" applyFill="1" applyBorder="1" applyAlignment="1">
      <alignment horizontal="center" vertical="top"/>
    </xf>
    <xf numFmtId="0" fontId="20" fillId="10" borderId="25" xfId="0" applyFont="1" applyFill="1" applyBorder="1" applyAlignment="1">
      <alignment horizontal="center" vertical="top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42" fontId="20" fillId="0" borderId="26" xfId="0" applyNumberFormat="1" applyFont="1" applyBorder="1" applyAlignment="1">
      <alignment horizontal="center"/>
    </xf>
    <xf numFmtId="42" fontId="20" fillId="0" borderId="16" xfId="0" applyNumberFormat="1" applyFont="1" applyBorder="1" applyAlignment="1">
      <alignment horizontal="center"/>
    </xf>
    <xf numFmtId="42" fontId="20" fillId="0" borderId="27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42" fontId="21" fillId="12" borderId="9" xfId="0" applyNumberFormat="1" applyFont="1" applyFill="1" applyBorder="1" applyAlignment="1">
      <alignment horizontal="left" wrapText="1"/>
    </xf>
    <xf numFmtId="42" fontId="21" fillId="12" borderId="0" xfId="0" applyNumberFormat="1" applyFont="1" applyFill="1" applyAlignment="1">
      <alignment horizontal="left" wrapText="1"/>
    </xf>
    <xf numFmtId="42" fontId="21" fillId="12" borderId="10" xfId="0" applyNumberFormat="1" applyFont="1" applyFill="1" applyBorder="1" applyAlignment="1">
      <alignment horizontal="left" wrapText="1"/>
    </xf>
    <xf numFmtId="42" fontId="21" fillId="0" borderId="9" xfId="0" applyNumberFormat="1" applyFont="1" applyBorder="1" applyAlignment="1">
      <alignment horizontal="left" vertical="top" wrapText="1"/>
    </xf>
    <xf numFmtId="42" fontId="21" fillId="0" borderId="0" xfId="0" applyNumberFormat="1" applyFont="1" applyAlignment="1">
      <alignment horizontal="left" vertical="top" wrapText="1"/>
    </xf>
    <xf numFmtId="42" fontId="21" fillId="0" borderId="10" xfId="0" applyNumberFormat="1" applyFont="1" applyBorder="1" applyAlignment="1">
      <alignment horizontal="left" vertical="top" wrapText="1"/>
    </xf>
    <xf numFmtId="0" fontId="20" fillId="12" borderId="28" xfId="0" applyFont="1" applyFill="1" applyBorder="1" applyAlignment="1">
      <alignment horizontal="center"/>
    </xf>
    <xf numFmtId="0" fontId="20" fillId="12" borderId="30" xfId="0" applyFont="1" applyFill="1" applyBorder="1" applyAlignment="1">
      <alignment horizontal="center"/>
    </xf>
    <xf numFmtId="0" fontId="20" fillId="12" borderId="9" xfId="0" applyFont="1" applyFill="1" applyBorder="1" applyAlignment="1">
      <alignment horizontal="center"/>
    </xf>
    <xf numFmtId="0" fontId="20" fillId="12" borderId="0" xfId="0" applyFont="1" applyFill="1" applyAlignment="1">
      <alignment horizontal="center"/>
    </xf>
    <xf numFmtId="0" fontId="37" fillId="0" borderId="0" xfId="0" applyFont="1" applyAlignment="1">
      <alignment horizontal="center" vertical="top"/>
    </xf>
    <xf numFmtId="14" fontId="20" fillId="9" borderId="23" xfId="0" applyNumberFormat="1" applyFont="1" applyFill="1" applyBorder="1" applyAlignment="1">
      <alignment horizontal="center"/>
    </xf>
    <xf numFmtId="0" fontId="20" fillId="9" borderId="24" xfId="0" applyFont="1" applyFill="1" applyBorder="1" applyAlignment="1">
      <alignment horizontal="center"/>
    </xf>
    <xf numFmtId="0" fontId="20" fillId="9" borderId="25" xfId="0" applyFont="1" applyFill="1" applyBorder="1" applyAlignment="1">
      <alignment horizontal="center"/>
    </xf>
    <xf numFmtId="0" fontId="37" fillId="9" borderId="23" xfId="0" applyFont="1" applyFill="1" applyBorder="1" applyAlignment="1">
      <alignment horizontal="center" vertical="top"/>
    </xf>
    <xf numFmtId="0" fontId="37" fillId="9" borderId="24" xfId="0" applyFont="1" applyFill="1" applyBorder="1" applyAlignment="1">
      <alignment horizontal="center" vertical="top"/>
    </xf>
    <xf numFmtId="0" fontId="37" fillId="9" borderId="25" xfId="0" applyFont="1" applyFill="1" applyBorder="1" applyAlignment="1">
      <alignment horizontal="center" vertical="top"/>
    </xf>
    <xf numFmtId="0" fontId="32" fillId="9" borderId="12" xfId="0" applyFont="1" applyFill="1" applyBorder="1" applyAlignment="1">
      <alignment horizontal="center"/>
    </xf>
    <xf numFmtId="0" fontId="32" fillId="9" borderId="13" xfId="0" applyFont="1" applyFill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42" fontId="21" fillId="0" borderId="9" xfId="0" applyNumberFormat="1" applyFont="1" applyBorder="1" applyAlignment="1">
      <alignment wrapText="1"/>
    </xf>
    <xf numFmtId="0" fontId="40" fillId="0" borderId="0" xfId="0" applyFont="1"/>
    <xf numFmtId="0" fontId="40" fillId="0" borderId="3" xfId="0" applyFont="1" applyBorder="1"/>
    <xf numFmtId="14" fontId="20" fillId="9" borderId="45" xfId="0" applyNumberFormat="1" applyFont="1" applyFill="1" applyBorder="1" applyAlignment="1">
      <alignment horizontal="center"/>
    </xf>
    <xf numFmtId="0" fontId="20" fillId="9" borderId="16" xfId="0" applyFont="1" applyFill="1" applyBorder="1" applyAlignment="1">
      <alignment horizontal="center"/>
    </xf>
    <xf numFmtId="0" fontId="20" fillId="9" borderId="46" xfId="0" applyFont="1" applyFill="1" applyBorder="1" applyAlignment="1">
      <alignment horizontal="center"/>
    </xf>
    <xf numFmtId="0" fontId="32" fillId="9" borderId="32" xfId="0" applyFont="1" applyFill="1" applyBorder="1" applyAlignment="1">
      <alignment horizontal="center"/>
    </xf>
    <xf numFmtId="42" fontId="32" fillId="9" borderId="9" xfId="0" applyNumberFormat="1" applyFont="1" applyFill="1" applyBorder="1" applyAlignment="1">
      <alignment horizontal="center"/>
    </xf>
    <xf numFmtId="42" fontId="32" fillId="9" borderId="13" xfId="0" applyNumberFormat="1" applyFont="1" applyFill="1" applyBorder="1" applyAlignment="1">
      <alignment horizontal="center"/>
    </xf>
    <xf numFmtId="42" fontId="32" fillId="9" borderId="33" xfId="0" applyNumberFormat="1" applyFont="1" applyFill="1" applyBorder="1" applyAlignment="1">
      <alignment horizontal="center"/>
    </xf>
    <xf numFmtId="42" fontId="21" fillId="0" borderId="28" xfId="0" applyNumberFormat="1" applyFont="1" applyBorder="1" applyAlignment="1">
      <alignment horizontal="center"/>
    </xf>
    <xf numFmtId="42" fontId="21" fillId="0" borderId="29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42" fontId="40" fillId="0" borderId="9" xfId="0" applyNumberFormat="1" applyFont="1" applyBorder="1" applyAlignment="1">
      <alignment horizontal="left" wrapText="1"/>
    </xf>
    <xf numFmtId="42" fontId="40" fillId="0" borderId="0" xfId="0" applyNumberFormat="1" applyFont="1" applyAlignment="1">
      <alignment horizontal="left" wrapText="1"/>
    </xf>
    <xf numFmtId="42" fontId="40" fillId="0" borderId="3" xfId="0" applyNumberFormat="1" applyFont="1" applyBorder="1" applyAlignment="1">
      <alignment horizontal="left" wrapText="1"/>
    </xf>
    <xf numFmtId="0" fontId="42" fillId="0" borderId="0" xfId="0" applyFont="1" applyAlignment="1">
      <alignment horizontal="center"/>
    </xf>
    <xf numFmtId="14" fontId="26" fillId="9" borderId="23" xfId="0" applyNumberFormat="1" applyFont="1" applyFill="1" applyBorder="1" applyAlignment="1">
      <alignment horizontal="center"/>
    </xf>
    <xf numFmtId="0" fontId="26" fillId="9" borderId="24" xfId="0" applyFont="1" applyFill="1" applyBorder="1" applyAlignment="1">
      <alignment horizontal="center"/>
    </xf>
    <xf numFmtId="0" fontId="26" fillId="9" borderId="25" xfId="0" applyFont="1" applyFill="1" applyBorder="1" applyAlignment="1">
      <alignment horizontal="center"/>
    </xf>
    <xf numFmtId="0" fontId="44" fillId="9" borderId="45" xfId="0" applyFont="1" applyFill="1" applyBorder="1" applyAlignment="1">
      <alignment horizontal="center"/>
    </xf>
    <xf numFmtId="0" fontId="44" fillId="9" borderId="16" xfId="0" applyFont="1" applyFill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48" fillId="0" borderId="0" xfId="0" applyFont="1" applyAlignment="1">
      <alignment horizontal="center" vertical="top"/>
    </xf>
  </cellXfs>
  <cellStyles count="12">
    <cellStyle name="Currency" xfId="1" builtinId="4"/>
    <cellStyle name="Currency 10" xfId="10" xr:uid="{EC7B7B06-D8F7-49E6-8986-3521DDA35AE3}"/>
    <cellStyle name="Currency 4" xfId="11" xr:uid="{8CCFC382-2841-400D-8A8B-7405B4174D21}"/>
    <cellStyle name="Normal" xfId="0" builtinId="0"/>
    <cellStyle name="Normal 2 6" xfId="3" xr:uid="{1EC63678-8904-493D-9749-F42963CF9C0A}"/>
    <cellStyle name="Normal 4 2 4" xfId="5" xr:uid="{226AC210-D41D-4FF5-B84A-2A595BA7AE8D}"/>
    <cellStyle name="Normal 5 3 3" xfId="7" xr:uid="{64C99029-DA8E-470C-AA7C-250033CD77FD}"/>
    <cellStyle name="Normal 6 2 2 2 2" xfId="4" xr:uid="{C5D2B028-5AAB-4A75-9AF6-7B6F936CED41}"/>
    <cellStyle name="Percent" xfId="2" builtinId="5"/>
    <cellStyle name="Percent 10 2" xfId="8" xr:uid="{194B2632-0E4A-4FA1-B41A-301686F6AE56}"/>
    <cellStyle name="Percent 2 2 3" xfId="6" xr:uid="{9E0D26AC-976C-4330-8BA8-8ED23076D88F}"/>
    <cellStyle name="Percent 3" xfId="9" xr:uid="{143650E1-7CCD-4866-8E0F-968E4C1ED4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40</xdr:row>
      <xdr:rowOff>76199</xdr:rowOff>
    </xdr:from>
    <xdr:to>
      <xdr:col>72</xdr:col>
      <xdr:colOff>0</xdr:colOff>
      <xdr:row>52</xdr:row>
      <xdr:rowOff>126999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371624A3-FC34-4D3A-9EB4-0D5032FE6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77024"/>
          <a:ext cx="8972550" cy="199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Lisa\My%20Documents\BayCove\BayCove2005Profile315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Users\HNaciri\Downloads\Resi%20Rehab%203386&amp;3401%20122613%20330pm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W_Pricing\SubAbuse\2013\Resi%20Rehab\Data\Resi%20Rehab%20_All%20Codes%20Analysis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\X\Data%20&amp;%20Reporting%20Tools\STARR%20Utilization\STARR%20Utilization%20Tool%20FY10%20Jun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Solimini\Desktop\C.257%20%20BLS%20Benchmarks%20M2021%2053rd%20wip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ve%20Services-POS%20Policy%20Office\Rate%20Setting\Rate%20Projects\DMH%20-%20Respite%20CMR%20431\FY24%20Rate%20Review\3.%20Signoff\Website\101%20CMR%20431%20Respite%20Models%20FY24%20FOI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Administrative%20Services-POS%20Policy%20Office\Rate%20Setting\Rate%20Projects\DMH%20-%20Respite\3.%20Proposal,%20Hearing,%20&amp;%20Sign%20Off\FOR%20WEBSITE\DMH%20Resp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@LISA\@lisa2001\Contracts2001\@LISA\@lisa99\Contracts99\FullerSEE99Am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ihbany\Desktop\FY16%20Budget%20-%20Consolidated%2006112015%20FC%20Fina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Users\Villacorta\Downloads\FINAL%20ANALYSIS%20Counseling%20Rate%20Options%20071913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f06\workgroups\W_Pricing\SubAbuse\2012\Data\Outpatient%20Counseling%20&amp;%20Other%20Related\Counseling%20Rate%20Options%20MARCH%2018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LDHCFP\Shared%20Files\OSD\Don\EI\General%20Analysis%20Template%20V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_Pricing\POS\Year%203%20Projects\Year%203%20Plan\Service%20Classes\Youth%20Intermediate%20Term%20Stabilization\3470%20DPH%20BSAS%20Youth%20Residential\YITS-DPH\YITS_DPH_Yr%203%20review_FY2010-2011_General%20Analysi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rative%20Services-POS%20Policy%20Office\Rate%20Setting\Rate%20Projects\Family%20Stab_\1.%20Strategy%20Team%20Materials\Rate%20Review\Archive\Agency%20With%20Choice-Family%20Navigation%2011-7-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file"/>
      <sheetName val="Crosswalks"/>
      <sheetName val="Sheet2"/>
    </sheetNames>
    <sheetDataSet>
      <sheetData sheetId="0"/>
      <sheetData sheetId="1"/>
      <sheetData sheetId="2" refreshError="1">
        <row r="1">
          <cell r="B1" t="str">
            <v>REGION</v>
          </cell>
        </row>
        <row r="2">
          <cell r="A2" t="str">
            <v>Berkshire</v>
          </cell>
          <cell r="B2" t="str">
            <v>1&amp;2</v>
          </cell>
        </row>
        <row r="3">
          <cell r="A3" t="str">
            <v>Brockton</v>
          </cell>
          <cell r="B3">
            <v>3</v>
          </cell>
        </row>
        <row r="4">
          <cell r="A4" t="str">
            <v>Cape Cod/Islands</v>
          </cell>
          <cell r="B4">
            <v>5</v>
          </cell>
        </row>
        <row r="5">
          <cell r="A5" t="str">
            <v>Central Middlesex</v>
          </cell>
          <cell r="B5">
            <v>6</v>
          </cell>
        </row>
        <row r="6">
          <cell r="A6" t="str">
            <v>Charles River West</v>
          </cell>
        </row>
        <row r="7">
          <cell r="A7" t="str">
            <v>Dorchester/Fuller</v>
          </cell>
        </row>
        <row r="8">
          <cell r="A8" t="str">
            <v>Fall River</v>
          </cell>
        </row>
        <row r="9">
          <cell r="A9" t="str">
            <v>Franklin/Hampshire</v>
          </cell>
        </row>
        <row r="10">
          <cell r="A10" t="str">
            <v>Holyoke/Chicopee</v>
          </cell>
        </row>
        <row r="11">
          <cell r="A11" t="str">
            <v>Lowell</v>
          </cell>
        </row>
        <row r="12">
          <cell r="A12" t="str">
            <v>Merrimack</v>
          </cell>
        </row>
        <row r="13">
          <cell r="A13" t="str">
            <v>Metro Boston - Harbor</v>
          </cell>
        </row>
        <row r="14">
          <cell r="A14" t="str">
            <v>Metro North</v>
          </cell>
        </row>
        <row r="15">
          <cell r="A15" t="str">
            <v>Middlesex West</v>
          </cell>
        </row>
        <row r="16">
          <cell r="A16" t="str">
            <v>New Bedford</v>
          </cell>
        </row>
        <row r="17">
          <cell r="A17" t="str">
            <v>Newton/South Norfolk</v>
          </cell>
        </row>
        <row r="18">
          <cell r="A18" t="str">
            <v>North Central</v>
          </cell>
        </row>
        <row r="19">
          <cell r="A19" t="str">
            <v>North Shore</v>
          </cell>
        </row>
        <row r="20">
          <cell r="A20" t="str">
            <v>Plymouth</v>
          </cell>
        </row>
        <row r="21">
          <cell r="A21" t="str">
            <v>South Costal</v>
          </cell>
        </row>
        <row r="22">
          <cell r="A22" t="str">
            <v>South Valley</v>
          </cell>
        </row>
        <row r="23">
          <cell r="A23" t="str">
            <v>South Valley - Milford Site</v>
          </cell>
        </row>
        <row r="24">
          <cell r="A24" t="str">
            <v>Springfield</v>
          </cell>
        </row>
        <row r="25">
          <cell r="A25" t="str">
            <v>Taunton/Attleboro</v>
          </cell>
        </row>
        <row r="26">
          <cell r="A26" t="str">
            <v>West Boston/Brookline</v>
          </cell>
        </row>
        <row r="27">
          <cell r="A27" t="str">
            <v>Westfield Area</v>
          </cell>
        </row>
        <row r="28">
          <cell r="A28" t="str">
            <v>Worcester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8">
          <cell r="L68">
            <v>72.246451723559602</v>
          </cell>
        </row>
      </sheetData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2021 BLS SALARY CHART (53_PCT)"/>
      <sheetName val="M2021 BLS  SALARY CHART Median"/>
      <sheetName val="Sheet1"/>
      <sheetName val="M2021 all details"/>
      <sheetName val="DC  CNA  DC III"/>
      <sheetName val="Case Social Worker.Manager"/>
      <sheetName val="Clinical"/>
      <sheetName val="Nursing"/>
      <sheetName val="Management"/>
      <sheetName val="02021 53_PCT"/>
      <sheetName val="Therapies"/>
    </sheetNames>
    <sheetDataSet>
      <sheetData sheetId="0"/>
      <sheetData sheetId="1"/>
      <sheetData sheetId="2"/>
      <sheetData sheetId="3"/>
      <sheetData sheetId="4">
        <row r="6">
          <cell r="J6">
            <v>19.000800000000002</v>
          </cell>
        </row>
        <row r="10">
          <cell r="J10">
            <v>18.008399999999998</v>
          </cell>
        </row>
        <row r="19">
          <cell r="J19">
            <v>24.241120000000002</v>
          </cell>
        </row>
      </sheetData>
      <sheetData sheetId="5">
        <row r="4">
          <cell r="J4">
            <v>24.3888</v>
          </cell>
        </row>
        <row r="11">
          <cell r="J11">
            <v>30.569499999999998</v>
          </cell>
        </row>
      </sheetData>
      <sheetData sheetId="6">
        <row r="6">
          <cell r="J6">
            <v>35.178200000000004</v>
          </cell>
        </row>
        <row r="12">
          <cell r="J12">
            <v>43.1312</v>
          </cell>
        </row>
      </sheetData>
      <sheetData sheetId="7">
        <row r="2">
          <cell r="J2">
            <v>29.084</v>
          </cell>
        </row>
        <row r="6">
          <cell r="J6">
            <v>47.109200000000001</v>
          </cell>
        </row>
        <row r="11">
          <cell r="J11">
            <v>62.008800000000001</v>
          </cell>
        </row>
      </sheetData>
      <sheetData sheetId="8">
        <row r="2">
          <cell r="J2">
            <v>35.084000000000003</v>
          </cell>
        </row>
      </sheetData>
      <sheetData sheetId="9">
        <row r="34">
          <cell r="N34">
            <v>133902.08000000002</v>
          </cell>
        </row>
      </sheetData>
      <sheetData sheetId="10">
        <row r="2">
          <cell r="M2">
            <v>30.937200000000001</v>
          </cell>
        </row>
        <row r="8">
          <cell r="M8">
            <v>38.650100000000002</v>
          </cell>
        </row>
        <row r="14">
          <cell r="M14">
            <v>40.563600000000001</v>
          </cell>
        </row>
        <row r="18">
          <cell r="M18">
            <v>43.066240000000008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ended-MobileRelief"/>
      <sheetName val="FI Mobile Relief"/>
      <sheetName val="Fall 2018"/>
      <sheetName val="CAF FALL 2022"/>
      <sheetName val="M2021 BLS SALARY CHART (53_PCT)"/>
      <sheetName val="CAF"/>
      <sheetName val="M2021 BLS  SALARY CHART"/>
      <sheetName val="Models A B C"/>
      <sheetName val="Models A B C Budget FOIA"/>
      <sheetName val="Site Only Model"/>
      <sheetName val="Models A B C Budget"/>
      <sheetName val="Site Only Model Budget FOIA"/>
      <sheetName val="Site Only Model Budget"/>
      <sheetName val="Peer Model "/>
      <sheetName val="Peer Model Budget FOIA"/>
      <sheetName val="Peer Model Budget"/>
      <sheetName val="Mobile Only Model"/>
      <sheetName val="Fiscal Impact FY24 (2)"/>
      <sheetName val="Mobile Only Model Budget FOIA"/>
      <sheetName val="Mobile Only Model Budget"/>
      <sheetName val="Fiscal Impact FY22"/>
      <sheetName val="FY21 Clean Data"/>
      <sheetName val=" PPH Adjustments"/>
      <sheetName val="EXPENSE COMPARE"/>
      <sheetName val="ActivityCodeReport"/>
    </sheetNames>
    <sheetDataSet>
      <sheetData sheetId="0"/>
      <sheetData sheetId="1"/>
      <sheetData sheetId="2"/>
      <sheetData sheetId="3"/>
      <sheetData sheetId="4"/>
      <sheetData sheetId="5"/>
      <sheetData sheetId="6">
        <row r="41">
          <cell r="D41">
            <v>0.12</v>
          </cell>
        </row>
      </sheetData>
      <sheetData sheetId="7">
        <row r="4">
          <cell r="B4" t="str">
            <v>MASTER DATA LOOKUP TABLE</v>
          </cell>
        </row>
      </sheetData>
      <sheetData sheetId="8"/>
      <sheetData sheetId="9"/>
      <sheetData sheetId="10">
        <row r="15">
          <cell r="W15">
            <v>237129.98400000003</v>
          </cell>
        </row>
        <row r="16">
          <cell r="W16">
            <v>67682.369664000013</v>
          </cell>
        </row>
        <row r="17">
          <cell r="W17">
            <v>114612.82560000001</v>
          </cell>
        </row>
        <row r="18">
          <cell r="W18">
            <v>21736.915200000003</v>
          </cell>
        </row>
        <row r="19">
          <cell r="W19">
            <v>12251.715840000001</v>
          </cell>
        </row>
        <row r="33">
          <cell r="D33">
            <v>0.25390000000000001</v>
          </cell>
        </row>
        <row r="34">
          <cell r="B34" t="str">
            <v>Occupancy (per FTE)</v>
          </cell>
          <cell r="D34">
            <v>8237.2400206283419</v>
          </cell>
          <cell r="G34" t="str">
            <v>FY21 UFR Data wtg avg</v>
          </cell>
        </row>
        <row r="35">
          <cell r="B35" t="str">
            <v>All Other expenses (per FTE)</v>
          </cell>
          <cell r="D35">
            <v>3822.3891273763002</v>
          </cell>
          <cell r="G35" t="str">
            <v>FY21 UFR Data wtg avg (includes training, meals, travel/transportation, Client Personal and Incendential allowances &amp; Supplies and Materials</v>
          </cell>
        </row>
        <row r="36">
          <cell r="D36">
            <v>0.12</v>
          </cell>
        </row>
        <row r="37">
          <cell r="D37">
            <v>2.7811565914169036E-2</v>
          </cell>
          <cell r="G37" t="str">
            <v>Prospective Period FY23 &amp; FY24</v>
          </cell>
        </row>
      </sheetData>
      <sheetData sheetId="11"/>
      <sheetData sheetId="12">
        <row r="10">
          <cell r="H10">
            <v>0.66230769230769226</v>
          </cell>
        </row>
      </sheetData>
      <sheetData sheetId="13"/>
      <sheetData sheetId="14"/>
      <sheetData sheetId="15">
        <row r="8">
          <cell r="M8">
            <v>3648.7360000000003</v>
          </cell>
        </row>
        <row r="9">
          <cell r="M9">
            <v>72974.720000000001</v>
          </cell>
        </row>
        <row r="10">
          <cell r="M10">
            <v>79043.328000000009</v>
          </cell>
        </row>
        <row r="11">
          <cell r="M11">
            <v>158086.65600000002</v>
          </cell>
        </row>
        <row r="12">
          <cell r="M12">
            <v>24929.049600000002</v>
          </cell>
        </row>
        <row r="13">
          <cell r="M13">
            <v>9880.4160000000011</v>
          </cell>
        </row>
        <row r="20">
          <cell r="B20" t="str">
            <v>Occupancy (per FTE)</v>
          </cell>
        </row>
        <row r="21">
          <cell r="B21" t="str">
            <v>All Other expenses (per FTE)</v>
          </cell>
        </row>
      </sheetData>
      <sheetData sheetId="16"/>
      <sheetData sheetId="17"/>
      <sheetData sheetId="18"/>
      <sheetData sheetId="19">
        <row r="6">
          <cell r="I6">
            <v>18243.68</v>
          </cell>
        </row>
        <row r="7">
          <cell r="I7">
            <v>36585.328000000001</v>
          </cell>
        </row>
        <row r="8">
          <cell r="I8">
            <v>31792.28</v>
          </cell>
        </row>
        <row r="9">
          <cell r="I9">
            <v>55330.329600000005</v>
          </cell>
        </row>
        <row r="10">
          <cell r="I10">
            <v>9880.4160000000011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endedModels"/>
      <sheetName val="Peer Model Updated"/>
      <sheetName val="Per Diem Model"/>
      <sheetName val="Mobile Per Diem Model"/>
      <sheetName val="AHCS Salary Breakout"/>
      <sheetName val="FY16 Contracts"/>
      <sheetName val="Fall2016 CAF"/>
    </sheetNames>
    <sheetDataSet>
      <sheetData sheetId="0" refreshError="1">
        <row r="6">
          <cell r="N6">
            <v>6</v>
          </cell>
        </row>
        <row r="7">
          <cell r="S7">
            <v>10</v>
          </cell>
        </row>
        <row r="21">
          <cell r="D21">
            <v>1</v>
          </cell>
        </row>
        <row r="22">
          <cell r="D22">
            <v>0.6</v>
          </cell>
        </row>
        <row r="23">
          <cell r="D23">
            <v>0.1</v>
          </cell>
        </row>
        <row r="24">
          <cell r="D24">
            <v>0.5</v>
          </cell>
        </row>
        <row r="25">
          <cell r="D25">
            <v>0.5</v>
          </cell>
        </row>
        <row r="26">
          <cell r="D26">
            <v>4.2</v>
          </cell>
        </row>
        <row r="28">
          <cell r="D28">
            <v>1.4</v>
          </cell>
        </row>
        <row r="30">
          <cell r="D30">
            <v>0.25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endA"/>
      <sheetName val="DATA  ENTRY"/>
      <sheetName val="FullerSEE"/>
      <sheetName val="SummaryNarrative"/>
    </sheetNames>
    <sheetDataSet>
      <sheetData sheetId="0" refreshError="1">
        <row r="2">
          <cell r="B2" t="str">
            <v>ATTACHMENT A: AMENDMENT FORM         1999</v>
          </cell>
        </row>
        <row r="4">
          <cell r="J4" t="str">
            <v>Service Contract:</v>
          </cell>
        </row>
        <row r="5">
          <cell r="J5" t="str">
            <v>2631 9631 317</v>
          </cell>
        </row>
        <row r="8">
          <cell r="C8" t="str">
            <v>1) Highlight any significant programmatic or fiscal changes:</v>
          </cell>
          <cell r="O8" t="str">
            <v>Amendment #</v>
          </cell>
          <cell r="S8">
            <v>1</v>
          </cell>
        </row>
        <row r="12">
          <cell r="C12" t="str">
            <v>None</v>
          </cell>
        </row>
        <row r="13">
          <cell r="C13" t="str">
            <v xml:space="preserve"> </v>
          </cell>
        </row>
        <row r="26">
          <cell r="C26" t="str">
            <v>2) Identify any modification to the outcome measures or performance based objectives:</v>
          </cell>
        </row>
        <row r="28">
          <cell r="C28" t="str">
            <v>Per agreement with the Fuller Area office of the Department of Mental Health, the Attachment 2: Performance</v>
          </cell>
        </row>
        <row r="29">
          <cell r="C29" t="str">
            <v>Measures have been amended. Please see the amended Perofrmance Measures, attached.</v>
          </cell>
        </row>
        <row r="33">
          <cell r="C33" t="str">
            <v>1) Highlight any significant programmatic or fiscal changes:</v>
          </cell>
          <cell r="O33" t="str">
            <v>Amendment #</v>
          </cell>
        </row>
        <row r="44">
          <cell r="C44" t="str">
            <v>2) Identify any modification to the outcome measures or performance based objectives:</v>
          </cell>
        </row>
        <row r="50">
          <cell r="B50" t="str">
            <v>Attach a copy of the Attachment A: Renewal Summary Form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Universal"/>
      <sheetName val="AllAgencyByDivisionFC"/>
      <sheetName val="FY16 Vs FY15 Comparison FC"/>
      <sheetName val="TreasurersReportDetail"/>
      <sheetName val="TreasurersReportSummary -dnu"/>
      <sheetName val="FY16 Vs FY15 Comparison"/>
      <sheetName val="Admin"/>
      <sheetName val="Development"/>
      <sheetName val="BCA"/>
      <sheetName val="DD"/>
      <sheetName val="EI"/>
      <sheetName val="MH"/>
      <sheetName val="AS"/>
      <sheetName val="CASPAR"/>
      <sheetName val="KC"/>
      <sheetName val="All Agency"/>
      <sheetName val="All Programs"/>
      <sheetName val="All Agency by Division"/>
      <sheetName val="All Bay Cove"/>
      <sheetName val="A150 Development"/>
      <sheetName val="All Admin"/>
      <sheetName val="A112 Central Administration"/>
      <sheetName val="A113 Advocacy"/>
      <sheetName val="A114 Accounting"/>
      <sheetName val="A115 Rep Payee"/>
      <sheetName val="A117 QI &amp; Special Projects"/>
      <sheetName val="A120 Information Services"/>
      <sheetName val="A122 Training &amp; CLC"/>
      <sheetName val="A130 Human Resources"/>
      <sheetName val="A140 Property"/>
      <sheetName val="A145 Housing"/>
      <sheetName val="O172 Canal Street"/>
      <sheetName val="B671 Bay Cove Academy"/>
      <sheetName val="All DD"/>
      <sheetName val="D802 DD Non-Res Central Costs"/>
      <sheetName val="All DD by Program"/>
      <sheetName val="All DD Housing Support"/>
      <sheetName val="All DD Residential"/>
      <sheetName val="D401 DD Residential Centralized"/>
      <sheetName val="D404 Res Social Rec"/>
      <sheetName val="D361 Bourne St"/>
      <sheetName val="D362 Center Ave"/>
      <sheetName val="D363 Plymouth St"/>
      <sheetName val="D366 Pat Ree Drive"/>
      <sheetName val="D372 Caswell 1"/>
      <sheetName val="D373 Caswell 2"/>
      <sheetName val="D374 Caswell 3"/>
      <sheetName val="D375 Caswell 4"/>
      <sheetName val="D411 Williams House"/>
      <sheetName val="D412 Juliette St"/>
      <sheetName val="D413 Marlowe House"/>
      <sheetName val="D415 Pond St"/>
      <sheetName val="D416 Quincy Adams"/>
      <sheetName val="D417 Columbia Rd"/>
      <sheetName val="D418 Willers St"/>
      <sheetName val="D420 Dorchester Ave"/>
      <sheetName val="D421 Brett House"/>
      <sheetName val="D422 Canterbury St"/>
      <sheetName val="D424 Harbor Point"/>
      <sheetName val="D431 Truman Highway"/>
      <sheetName val="D432 Utica St"/>
      <sheetName val="D433 Mill St"/>
      <sheetName val="D434 Winthrop St"/>
      <sheetName val="D435 Washington Ave"/>
      <sheetName val="D436 Carol Circle"/>
      <sheetName val="D437 Freeland St"/>
      <sheetName val="D438 Orlando Street I &amp; II"/>
      <sheetName val="D439 Cook Ave"/>
      <sheetName val="D444 Hyde Park Ave"/>
      <sheetName val="D446 Connors House"/>
      <sheetName val="D448 Columbia West"/>
      <sheetName val="D449 Kittredge Street"/>
      <sheetName val="D471 Zelma Lacey Ass Living"/>
      <sheetName val="D491 Adelaide St Residential"/>
      <sheetName val="D492 Revere House"/>
      <sheetName val="All DD SH"/>
      <sheetName val="D825 Lindsay Supported Housing"/>
      <sheetName val="D826 Adelaide St Supp Housing"/>
      <sheetName val="D831 Individual Supports"/>
      <sheetName val="D832 SEAD"/>
      <sheetName val="All Family and Parent Support"/>
      <sheetName val="D856 Parent Support"/>
      <sheetName val="All Family Support"/>
      <sheetName val="D844 Family Support Services"/>
      <sheetName val="D845 Family Sup Financial Assis"/>
      <sheetName val="All DD Day Programs"/>
      <sheetName val="O862 Bradston Street"/>
      <sheetName val="D874 Social Recreation"/>
      <sheetName val="All CBDS"/>
      <sheetName val="D863 CHES CBDS"/>
      <sheetName val="D873 City Square CBDS"/>
      <sheetName val="All Day Hab"/>
      <sheetName val="D866 Bradston Day Hab"/>
      <sheetName val="D876 Charlestown Day Hab"/>
      <sheetName val="F651 Early Intervention"/>
      <sheetName val="All Kit Clark"/>
      <sheetName val="K191 KCSS Administration"/>
      <sheetName val="All KC Occupancy"/>
      <sheetName val="O192 1500 Dorchester Ave"/>
      <sheetName val="O193 645 Washington Street"/>
      <sheetName val="K105 Kit Clark Clinic"/>
      <sheetName val="All Long Term Services"/>
      <sheetName val="All ADH"/>
      <sheetName val="K910 ADH AGO"/>
      <sheetName val="K911 Adult Day Health"/>
      <sheetName val="ADH Staffing"/>
      <sheetName val="All In Home Services"/>
      <sheetName val="K912 Foley Assisted Living"/>
      <sheetName val="K914 Homecare Program"/>
      <sheetName val="All Social and Health"/>
      <sheetName val="K921 Health Clinic"/>
      <sheetName val="K925 Senior Center"/>
      <sheetName val="K926 Fit for Life"/>
      <sheetName val="K928 SNAP"/>
      <sheetName val="All Housing and Homeless"/>
      <sheetName val="K933 MHSA YMCA"/>
      <sheetName val="K934 Congregate Housing"/>
      <sheetName val="K935 Cardinal Medeiros Center"/>
      <sheetName val="K937 Home Repair Program"/>
      <sheetName val="All Nutrition and Trans"/>
      <sheetName val="All Nutrition"/>
      <sheetName val="Meals"/>
      <sheetName val="All Public Nutrition"/>
      <sheetName val="All Private Nutrition"/>
      <sheetName val="K941 Public Nutrition"/>
      <sheetName val="K942 Private Nutrition"/>
      <sheetName val="K945 ADH Nutrition"/>
      <sheetName val="All Transportation"/>
      <sheetName val="K943 Transporation Private Food"/>
      <sheetName val="K944 Transporation Public Nutri"/>
      <sheetName val="K951 ADH Transportation"/>
      <sheetName val="K952 Private Transportation"/>
      <sheetName val="Vehicle List"/>
      <sheetName val="All MH + Clinic"/>
      <sheetName val="L206 Mental Health Clinic"/>
      <sheetName val="All MH"/>
      <sheetName val="All MH by Program"/>
      <sheetName val="M200 MH Non-CBFS Central Costs"/>
      <sheetName val="O177 Bowker Street"/>
      <sheetName val="O180 1960 Washington Street"/>
      <sheetName val="O181 3313 Washington Street"/>
      <sheetName val="M202 TPP"/>
      <sheetName val="M208 Bay View Inn"/>
      <sheetName val="M605 Home At Last"/>
      <sheetName val="M608 Health Home"/>
      <sheetName val="M609 CMMI Health Outreach"/>
      <sheetName val="M808 Boston Night Center"/>
      <sheetName val="All CCA CCS"/>
      <sheetName val="M214 CCA CCS - Brighton"/>
      <sheetName val="M215 CCA CCS - Carney"/>
      <sheetName val="All BEST"/>
      <sheetName val="All BEST CCS + Fuller"/>
      <sheetName val="M203 BEST CCS (Fuller)"/>
      <sheetName val="M204 BEST UCC"/>
      <sheetName val="M213 Longwood CCS"/>
      <sheetName val="All North Suffolk"/>
      <sheetName val="M209 Staniford House"/>
      <sheetName val="M400 Harbor House"/>
      <sheetName val="All MH Day Programs"/>
      <sheetName val="M750 PACT"/>
      <sheetName val="M821 Day Treatment"/>
      <sheetName val="M841 Employment Services"/>
      <sheetName val="All Clubs"/>
      <sheetName val="M801 Center Club"/>
      <sheetName val="M802 Transitions"/>
      <sheetName val="M803 Ruby Rogers"/>
      <sheetName val="All FBC CBFS"/>
      <sheetName val="O178 Amory Street"/>
      <sheetName val="M201 MH CBFS Centralized Costs"/>
      <sheetName val="M601 Wellness Center"/>
      <sheetName val="All Safety Net"/>
      <sheetName val="M603 Safety Net Respite"/>
      <sheetName val="M604 Safety Net Outreach"/>
      <sheetName val="All Teams"/>
      <sheetName val="M610 CBFS Teams - Occupancy"/>
      <sheetName val="M611 CBFS Team 2"/>
      <sheetName val="M612 CBFS Team 3"/>
      <sheetName val="M613 CBFS Team 4"/>
      <sheetName val="M614 CBFS Team 5"/>
      <sheetName val="All CBFS Residential"/>
      <sheetName val="M620 Hamilton"/>
      <sheetName val="M621 Gordon"/>
      <sheetName val="M622 Perrin Street"/>
      <sheetName val="M623 Walnut Residence"/>
      <sheetName val="M624 Speedwell"/>
      <sheetName val="M625 Walk Hill"/>
      <sheetName val="M626 Bowdoin"/>
      <sheetName val="M627 Bailey"/>
      <sheetName val="M628 Astoria Street"/>
      <sheetName val="M629 Dudley"/>
      <sheetName val="M630 Fessenden"/>
      <sheetName val="M631 Vincent"/>
      <sheetName val="M632 Betances"/>
      <sheetName val="M633 Stanley"/>
      <sheetName val="M634 Daly House"/>
      <sheetName val="M636 Lyon &amp; Orchardfield"/>
      <sheetName val="M637 Central Ave"/>
      <sheetName val="M638 Bartlett"/>
      <sheetName val="M639 Winston"/>
      <sheetName val="M640 Maple"/>
      <sheetName val="M641 Hollander"/>
      <sheetName val="M642 Pleasant St"/>
      <sheetName val="M643 Boylston Place"/>
      <sheetName val="M644 Charles"/>
      <sheetName val="M645 Harvard street"/>
      <sheetName val="M647 Tremont"/>
      <sheetName val="M648 Fenway"/>
      <sheetName val="M649 Fuller"/>
      <sheetName val="M650 Souris"/>
      <sheetName val="M651 Hosmer Street"/>
      <sheetName val="M653 Bay Cove Modified Apts"/>
      <sheetName val="M654 Norfolk"/>
      <sheetName val="M659 Dorchester Street "/>
      <sheetName val="M660 Aspinwall"/>
      <sheetName val="M661 Stanwood"/>
      <sheetName val="All AS"/>
      <sheetName val="S512 Andrew House ATS"/>
      <sheetName val="S531 New Hope TSS"/>
      <sheetName val="S543 Bay Cove Treatment Center"/>
      <sheetName val="S557 Charlestown Recovery House"/>
      <sheetName val="All Chelsea ASAP"/>
      <sheetName val="S571 Chelsea ASAP"/>
      <sheetName val="S572 DSS Family Services"/>
      <sheetName val="S573 Outpatient Counseling"/>
      <sheetName val="S574 Driver Alcohol Ed"/>
      <sheetName val="S575 Youth Program"/>
      <sheetName val="S578 Chelsea Batterers"/>
      <sheetName val="S581 Drug Free Communities"/>
      <sheetName val="All CASPAR"/>
      <sheetName val="S701 CASPAR Centralized Costs"/>
      <sheetName val="O702 Middlesex Ave"/>
      <sheetName val="All CASPAR Programs"/>
      <sheetName val="All Emergency Services"/>
      <sheetName val="S721 Shelter"/>
      <sheetName val="S725 First Step"/>
      <sheetName val="All Support Services"/>
      <sheetName val="S761 Phoenix Outpatient Svcs"/>
      <sheetName val="S771 Youth Services"/>
      <sheetName val="S791 Employment Services"/>
      <sheetName val="All Mens Residential"/>
      <sheetName val="S741 Highland Ave"/>
      <sheetName val="S742 Summit Ave"/>
      <sheetName val="S743 Hagan Manor"/>
      <sheetName val="All Womens Residential"/>
      <sheetName val="S751 WomanPlace"/>
      <sheetName val="S752 New Day"/>
      <sheetName val="S753 Grow-House"/>
      <sheetName val="All Intercompany"/>
      <sheetName val="X901 BayCove Group Homes I"/>
      <sheetName val="X902 BayCove Group Homes II"/>
      <sheetName val="X903 BayCove Group Homes III"/>
      <sheetName val="X904 BayCove Moseley"/>
      <sheetName val="X906 BayCove Hamilton"/>
      <sheetName val="X907 HUD 7"/>
      <sheetName val="2015 Orig Budget"/>
    </sheetNames>
    <sheetDataSet>
      <sheetData sheetId="0" refreshError="1"/>
      <sheetData sheetId="1" refreshError="1">
        <row r="7">
          <cell r="C7">
            <v>7.6499999999999999E-2</v>
          </cell>
        </row>
        <row r="8">
          <cell r="C8">
            <v>0.1285</v>
          </cell>
        </row>
        <row r="9">
          <cell r="C9">
            <v>2.3E-3</v>
          </cell>
        </row>
        <row r="10">
          <cell r="C10">
            <v>0.02</v>
          </cell>
        </row>
        <row r="11">
          <cell r="C11">
            <v>50</v>
          </cell>
        </row>
        <row r="12">
          <cell r="C12">
            <v>0.02</v>
          </cell>
        </row>
        <row r="13">
          <cell r="C13">
            <v>0.109</v>
          </cell>
        </row>
        <row r="14">
          <cell r="C14">
            <v>11.15</v>
          </cell>
        </row>
        <row r="17">
          <cell r="C17">
            <v>52.4</v>
          </cell>
        </row>
        <row r="18">
          <cell r="C18">
            <v>52.285714285714285</v>
          </cell>
        </row>
        <row r="19">
          <cell r="C19">
            <v>0.03</v>
          </cell>
        </row>
        <row r="20">
          <cell r="C20">
            <v>0.03</v>
          </cell>
        </row>
        <row r="21">
          <cell r="C21">
            <v>0.03</v>
          </cell>
        </row>
        <row r="22">
          <cell r="C22">
            <v>0.01</v>
          </cell>
        </row>
        <row r="23">
          <cell r="C23">
            <v>0.03</v>
          </cell>
        </row>
        <row r="24">
          <cell r="C24">
            <v>0.03</v>
          </cell>
        </row>
        <row r="25">
          <cell r="C25">
            <v>0.05</v>
          </cell>
        </row>
        <row r="30">
          <cell r="C30">
            <v>31</v>
          </cell>
          <cell r="D30">
            <v>31</v>
          </cell>
          <cell r="E30">
            <v>30</v>
          </cell>
          <cell r="F30">
            <v>31</v>
          </cell>
          <cell r="G30">
            <v>30</v>
          </cell>
          <cell r="H30">
            <v>31</v>
          </cell>
          <cell r="I30">
            <v>31</v>
          </cell>
          <cell r="J30">
            <v>29</v>
          </cell>
          <cell r="K30">
            <v>31</v>
          </cell>
          <cell r="L30">
            <v>30</v>
          </cell>
          <cell r="M30">
            <v>31</v>
          </cell>
          <cell r="N30">
            <v>30</v>
          </cell>
        </row>
        <row r="31">
          <cell r="C31">
            <v>23</v>
          </cell>
          <cell r="D31">
            <v>21</v>
          </cell>
          <cell r="E31">
            <v>22</v>
          </cell>
          <cell r="F31">
            <v>22</v>
          </cell>
          <cell r="G31">
            <v>21</v>
          </cell>
          <cell r="H31">
            <v>23</v>
          </cell>
          <cell r="I31">
            <v>21</v>
          </cell>
          <cell r="J31">
            <v>21</v>
          </cell>
          <cell r="K31">
            <v>23</v>
          </cell>
          <cell r="L31">
            <v>21</v>
          </cell>
          <cell r="M31">
            <v>22</v>
          </cell>
          <cell r="N31">
            <v>22</v>
          </cell>
        </row>
        <row r="33">
          <cell r="C33">
            <v>5</v>
          </cell>
          <cell r="D33">
            <v>4</v>
          </cell>
          <cell r="E33">
            <v>4</v>
          </cell>
          <cell r="F33">
            <v>5</v>
          </cell>
          <cell r="G33">
            <v>4</v>
          </cell>
          <cell r="H33">
            <v>5</v>
          </cell>
          <cell r="I33">
            <v>4</v>
          </cell>
          <cell r="J33">
            <v>4</v>
          </cell>
          <cell r="K33">
            <v>5</v>
          </cell>
          <cell r="L33">
            <v>4</v>
          </cell>
          <cell r="M33">
            <v>4</v>
          </cell>
          <cell r="N33">
            <v>5</v>
          </cell>
        </row>
        <row r="35">
          <cell r="B35" t="str">
            <v>DISTRIBUTION FOR VACATION BUYBACK</v>
          </cell>
          <cell r="C35">
            <v>0.11273627238600022</v>
          </cell>
          <cell r="D35">
            <v>8.4201725671216074E-2</v>
          </cell>
          <cell r="E35">
            <v>5.2132930663845105E-2</v>
          </cell>
          <cell r="F35">
            <v>6.2362634168389455E-2</v>
          </cell>
          <cell r="G35">
            <v>7.8957880368337438E-2</v>
          </cell>
          <cell r="H35">
            <v>0.11340406968814248</v>
          </cell>
          <cell r="I35">
            <v>8.2846422722826857E-2</v>
          </cell>
          <cell r="J35">
            <v>7.8949799086628136E-2</v>
          </cell>
          <cell r="K35">
            <v>7.8437634590311528E-2</v>
          </cell>
          <cell r="L35">
            <v>8.7033625381253546E-2</v>
          </cell>
          <cell r="M35">
            <v>7.6279140597660097E-2</v>
          </cell>
          <cell r="N35">
            <v>9.265786467538914E-2</v>
          </cell>
        </row>
        <row r="37">
          <cell r="C37">
            <v>8.7786259541984726E-2</v>
          </cell>
          <cell r="D37">
            <v>8.0152671755725186E-2</v>
          </cell>
          <cell r="E37">
            <v>8.3969465648854963E-2</v>
          </cell>
          <cell r="F37">
            <v>8.3969465648854963E-2</v>
          </cell>
          <cell r="G37">
            <v>8.0152671755725186E-2</v>
          </cell>
          <cell r="H37">
            <v>8.7786259541984726E-2</v>
          </cell>
          <cell r="I37">
            <v>8.0152671755725186E-2</v>
          </cell>
          <cell r="J37">
            <v>8.0152671755725186E-2</v>
          </cell>
          <cell r="K37">
            <v>8.7786259541984726E-2</v>
          </cell>
          <cell r="L37">
            <v>8.0152671755725186E-2</v>
          </cell>
          <cell r="M37">
            <v>8.3969465648854963E-2</v>
          </cell>
          <cell r="N37">
            <v>8.3969465648854963E-2</v>
          </cell>
        </row>
        <row r="38">
          <cell r="C38">
            <v>8.4699453551912565E-2</v>
          </cell>
          <cell r="D38">
            <v>8.4699453551912565E-2</v>
          </cell>
          <cell r="E38">
            <v>8.1967213114754092E-2</v>
          </cell>
          <cell r="F38">
            <v>8.4699453551912565E-2</v>
          </cell>
          <cell r="G38">
            <v>8.1967213114754092E-2</v>
          </cell>
          <cell r="H38">
            <v>8.4699453551912565E-2</v>
          </cell>
          <cell r="I38">
            <v>8.4699453551912565E-2</v>
          </cell>
          <cell r="J38">
            <v>7.9234972677595633E-2</v>
          </cell>
          <cell r="K38">
            <v>8.4699453551912565E-2</v>
          </cell>
          <cell r="L38">
            <v>8.1967213114754092E-2</v>
          </cell>
          <cell r="M38">
            <v>8.4699453551912565E-2</v>
          </cell>
          <cell r="N38">
            <v>8.1967213114754092E-2</v>
          </cell>
        </row>
        <row r="49">
          <cell r="C49">
            <v>42189</v>
          </cell>
        </row>
        <row r="50">
          <cell r="C50">
            <v>42254</v>
          </cell>
        </row>
        <row r="51">
          <cell r="C51">
            <v>42289</v>
          </cell>
        </row>
        <row r="52">
          <cell r="C52">
            <v>42319</v>
          </cell>
        </row>
        <row r="53">
          <cell r="C53">
            <v>42334</v>
          </cell>
        </row>
        <row r="54">
          <cell r="C54">
            <v>42363</v>
          </cell>
        </row>
        <row r="55">
          <cell r="C55">
            <v>42370</v>
          </cell>
        </row>
        <row r="56">
          <cell r="C56">
            <v>42387</v>
          </cell>
        </row>
        <row r="57">
          <cell r="C57">
            <v>42415</v>
          </cell>
        </row>
        <row r="58">
          <cell r="C58">
            <v>42478</v>
          </cell>
        </row>
        <row r="59">
          <cell r="C59">
            <v>42520</v>
          </cell>
        </row>
        <row r="72">
          <cell r="B72">
            <v>1</v>
          </cell>
          <cell r="F72">
            <v>215.35999999999999</v>
          </cell>
        </row>
        <row r="73">
          <cell r="B73">
            <v>2</v>
          </cell>
          <cell r="F73">
            <v>256.96000000000004</v>
          </cell>
        </row>
        <row r="74">
          <cell r="B74">
            <v>3</v>
          </cell>
          <cell r="F74">
            <v>272.55999999999995</v>
          </cell>
        </row>
        <row r="75">
          <cell r="B75">
            <v>4</v>
          </cell>
          <cell r="F75">
            <v>288.15999999999997</v>
          </cell>
        </row>
        <row r="76">
          <cell r="B76">
            <v>5</v>
          </cell>
          <cell r="F76">
            <v>303.76</v>
          </cell>
        </row>
        <row r="77">
          <cell r="B77">
            <v>6</v>
          </cell>
          <cell r="F77">
            <v>319.36</v>
          </cell>
        </row>
        <row r="78">
          <cell r="B78">
            <v>7</v>
          </cell>
          <cell r="F78">
            <v>334.96</v>
          </cell>
        </row>
        <row r="85">
          <cell r="B85">
            <v>5090</v>
          </cell>
        </row>
        <row r="86">
          <cell r="B86">
            <v>5110</v>
          </cell>
        </row>
        <row r="87">
          <cell r="B87">
            <v>5130</v>
          </cell>
        </row>
        <row r="88">
          <cell r="B88">
            <v>5160</v>
          </cell>
        </row>
        <row r="89">
          <cell r="B89">
            <v>5230</v>
          </cell>
        </row>
        <row r="90">
          <cell r="B90">
            <v>5250</v>
          </cell>
        </row>
        <row r="91">
          <cell r="B91">
            <v>5320</v>
          </cell>
        </row>
        <row r="92">
          <cell r="B92">
            <v>5330</v>
          </cell>
        </row>
        <row r="93">
          <cell r="B93">
            <v>5340</v>
          </cell>
        </row>
        <row r="94">
          <cell r="B94">
            <v>5350</v>
          </cell>
        </row>
        <row r="95">
          <cell r="B95">
            <v>5410</v>
          </cell>
        </row>
        <row r="96">
          <cell r="B96">
            <v>5420</v>
          </cell>
        </row>
        <row r="97">
          <cell r="B97">
            <v>5430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wDataCalcs"/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new CAF"/>
      <sheetName val="for pres"/>
      <sheetName val="Source"/>
      <sheetName val="Sheet1"/>
      <sheetName val="Sheet2"/>
      <sheetName val="Sheet3"/>
    </sheetNames>
    <sheetDataSet>
      <sheetData sheetId="0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RawDataCalcs"/>
      <sheetName val="CleanData (2)"/>
      <sheetName val="RawDataCalcs (2)"/>
      <sheetName val="Lookups"/>
      <sheetName val="Source"/>
      <sheetName val="Sheet1"/>
      <sheetName val="Transposed RawDataCalcs"/>
      <sheetName val="Transposed Clean Data"/>
      <sheetName val="Transposed Source"/>
      <sheetName val="Transposed RawDataCalcs &amp; Calc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Associates For Human Services Inc</v>
          </cell>
        </row>
        <row r="34">
          <cell r="L34">
            <v>0</v>
          </cell>
          <cell r="M34">
            <v>0.79029091117448558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46956.620119375693</v>
          </cell>
          <cell r="AA34">
            <v>17680</v>
          </cell>
          <cell r="AB34">
            <v>39867.641875293193</v>
          </cell>
          <cell r="AC34">
            <v>41031.086504828323</v>
          </cell>
          <cell r="AD34">
            <v>0</v>
          </cell>
          <cell r="AE34">
            <v>0</v>
          </cell>
          <cell r="AF34">
            <v>0</v>
          </cell>
          <cell r="AG34">
            <v>33944.118844784767</v>
          </cell>
          <cell r="AH34">
            <v>17680</v>
          </cell>
          <cell r="AI34">
            <v>0</v>
          </cell>
          <cell r="AJ34">
            <v>29753.902816591464</v>
          </cell>
          <cell r="AK34">
            <v>30930.825880294266</v>
          </cell>
          <cell r="AL34">
            <v>18569.0381892203</v>
          </cell>
          <cell r="AM34">
            <v>18442.473919768927</v>
          </cell>
          <cell r="AN34">
            <v>38606.161015285972</v>
          </cell>
          <cell r="AO34">
            <v>27075.185897627798</v>
          </cell>
          <cell r="AP34">
            <v>0</v>
          </cell>
          <cell r="AQ34">
            <v>0</v>
          </cell>
          <cell r="AR34">
            <v>0</v>
          </cell>
          <cell r="AS34">
            <v>20355.422680841988</v>
          </cell>
          <cell r="AT34">
            <v>71628.834700450796</v>
          </cell>
          <cell r="AU34">
            <v>20461.641675358544</v>
          </cell>
          <cell r="AV34">
            <v>21763.519947861987</v>
          </cell>
          <cell r="AW34">
            <v>30028.595208686409</v>
          </cell>
          <cell r="AX34">
            <v>20500.552365271986</v>
          </cell>
          <cell r="AY34">
            <v>0</v>
          </cell>
          <cell r="AZ34">
            <v>0</v>
          </cell>
          <cell r="BA34">
            <v>26069.349097187373</v>
          </cell>
          <cell r="BB34">
            <v>17680</v>
          </cell>
          <cell r="BC34">
            <v>27212.519009187054</v>
          </cell>
          <cell r="BD34">
            <v>41756.507202167428</v>
          </cell>
          <cell r="BE34">
            <v>28667.992486020263</v>
          </cell>
          <cell r="BF34">
            <v>19660.985016893599</v>
          </cell>
          <cell r="BG34">
            <v>17680</v>
          </cell>
          <cell r="BH34">
            <v>17680</v>
          </cell>
          <cell r="BI34">
            <v>17680</v>
          </cell>
          <cell r="BJ34">
            <v>0</v>
          </cell>
          <cell r="BK34">
            <v>0</v>
          </cell>
          <cell r="BL34">
            <v>37248.882698669069</v>
          </cell>
          <cell r="BM34">
            <v>17680</v>
          </cell>
          <cell r="BN34">
            <v>37585.774536606972</v>
          </cell>
          <cell r="BO34">
            <v>33596.29852940391</v>
          </cell>
          <cell r="BP34">
            <v>25417.773521214607</v>
          </cell>
          <cell r="BQ34">
            <v>30055.921442748004</v>
          </cell>
          <cell r="BR34">
            <v>21970.169720181879</v>
          </cell>
          <cell r="BS34">
            <v>17680</v>
          </cell>
          <cell r="BT34">
            <v>-1122614.5665450124</v>
          </cell>
          <cell r="BU34">
            <v>0.13027098074394894</v>
          </cell>
          <cell r="BV34">
            <v>-16766.898501709318</v>
          </cell>
          <cell r="BW34">
            <v>-1108530.6212166082</v>
          </cell>
          <cell r="BX34">
            <v>-1474513.4431397212</v>
          </cell>
          <cell r="BY34">
            <v>-359587.75471530249</v>
          </cell>
          <cell r="BZ34">
            <v>-675414.15673018876</v>
          </cell>
          <cell r="CA34">
            <v>-10318274.104858737</v>
          </cell>
          <cell r="CB34">
            <v>3.9667448114237239E-2</v>
          </cell>
          <cell r="CC34">
            <v>-354564.67376116331</v>
          </cell>
          <cell r="CD34">
            <v>-3143047.8255827245</v>
          </cell>
          <cell r="CE34">
            <v>-597214.63617941493</v>
          </cell>
          <cell r="CF34">
            <v>-629519.18501455639</v>
          </cell>
          <cell r="CG34">
            <v>-2933297.7765657566</v>
          </cell>
          <cell r="CH34">
            <v>-312958.42871704738</v>
          </cell>
          <cell r="CI34">
            <v>-6950335.2468438176</v>
          </cell>
          <cell r="CJ34">
            <v>-1108530.6212166082</v>
          </cell>
          <cell r="CK34">
            <v>-461138.95556240936</v>
          </cell>
          <cell r="CL34">
            <v>-359587.75471530249</v>
          </cell>
          <cell r="CM34">
            <v>-293888.7390341704</v>
          </cell>
          <cell r="CN34">
            <v>-675414.15673018876</v>
          </cell>
          <cell r="CO34">
            <v>-9523712.744866835</v>
          </cell>
          <cell r="CP34">
            <v>0.53755430053228481</v>
          </cell>
          <cell r="CQ34">
            <v>8.426975069624898E-2</v>
          </cell>
          <cell r="CR34">
            <v>-4.8713603045017345E-3</v>
          </cell>
          <cell r="CS34">
            <v>9.7952431306347933E-3</v>
          </cell>
          <cell r="CT34">
            <v>-3.9893498199197908E-2</v>
          </cell>
          <cell r="CU34">
            <v>3.8691458414040758E-2</v>
          </cell>
          <cell r="CV34">
            <v>5.6665121955921194</v>
          </cell>
          <cell r="CW34">
            <v>1.0474528769120166</v>
          </cell>
          <cell r="CX34">
            <v>-0.93418082786395029</v>
          </cell>
          <cell r="CY34">
            <v>-0.56422902479690396</v>
          </cell>
          <cell r="CZ34">
            <v>-0.51027554355606819</v>
          </cell>
          <cell r="DA34">
            <v>0.50401661976240408</v>
          </cell>
          <cell r="DB34">
            <v>9.2791732149199646</v>
          </cell>
        </row>
        <row r="35">
          <cell r="L35">
            <v>325.54527652063496</v>
          </cell>
          <cell r="M35">
            <v>1.145059670647806</v>
          </cell>
          <cell r="N35">
            <v>12.658929241568668</v>
          </cell>
          <cell r="O35">
            <v>95.943355157776523</v>
          </cell>
          <cell r="P35">
            <v>25.947712752140522</v>
          </cell>
          <cell r="Q35">
            <v>33.680418140703352</v>
          </cell>
          <cell r="R35">
            <v>117.98676225403045</v>
          </cell>
          <cell r="S35">
            <v>18.677306003027208</v>
          </cell>
          <cell r="T35">
            <v>4.0568192104597958E-2</v>
          </cell>
          <cell r="U35">
            <v>0.13171437587406293</v>
          </cell>
          <cell r="V35">
            <v>5.1755918785346619E-2</v>
          </cell>
          <cell r="W35">
            <v>0.16497859077952676</v>
          </cell>
          <cell r="X35">
            <v>0.2982878564398192</v>
          </cell>
          <cell r="Y35">
            <v>5.4787394269923656E-2</v>
          </cell>
          <cell r="Z35">
            <v>91413.434936079429</v>
          </cell>
          <cell r="AA35">
            <v>171213.94858211145</v>
          </cell>
          <cell r="AB35">
            <v>71268.467153171412</v>
          </cell>
          <cell r="AC35">
            <v>67499.431340421332</v>
          </cell>
          <cell r="AD35">
            <v>0</v>
          </cell>
          <cell r="AE35">
            <v>0</v>
          </cell>
          <cell r="AF35">
            <v>0</v>
          </cell>
          <cell r="AG35">
            <v>76170.539456675135</v>
          </cell>
          <cell r="AH35">
            <v>51194.094846967935</v>
          </cell>
          <cell r="AI35">
            <v>0</v>
          </cell>
          <cell r="AJ35">
            <v>96651.607294339352</v>
          </cell>
          <cell r="AK35">
            <v>103711.82144639676</v>
          </cell>
          <cell r="AL35">
            <v>108951.50925611406</v>
          </cell>
          <cell r="AM35">
            <v>124826.37579975859</v>
          </cell>
          <cell r="AN35">
            <v>56811.862618938139</v>
          </cell>
          <cell r="AO35">
            <v>55812.854748790807</v>
          </cell>
          <cell r="AP35">
            <v>0</v>
          </cell>
          <cell r="AQ35">
            <v>0</v>
          </cell>
          <cell r="AR35">
            <v>0</v>
          </cell>
          <cell r="AS35">
            <v>25027.576232617906</v>
          </cell>
          <cell r="AT35">
            <v>93184.103761087666</v>
          </cell>
          <cell r="AU35">
            <v>97525.123689390195</v>
          </cell>
          <cell r="AV35">
            <v>84456.375281292596</v>
          </cell>
          <cell r="AW35">
            <v>57934.015020761828</v>
          </cell>
          <cell r="AX35">
            <v>101633.94724195503</v>
          </cell>
          <cell r="AY35">
            <v>0</v>
          </cell>
          <cell r="AZ35">
            <v>0</v>
          </cell>
          <cell r="BA35">
            <v>66765.076206888509</v>
          </cell>
          <cell r="BB35">
            <v>97217.62868695044</v>
          </cell>
          <cell r="BC35">
            <v>54127.822372828719</v>
          </cell>
          <cell r="BD35">
            <v>61930.062581382372</v>
          </cell>
          <cell r="BE35">
            <v>62552.309754750124</v>
          </cell>
          <cell r="BF35">
            <v>61773.475248805931</v>
          </cell>
          <cell r="BG35">
            <v>57364.818493992512</v>
          </cell>
          <cell r="BH35">
            <v>61457.801192826271</v>
          </cell>
          <cell r="BI35">
            <v>59460.337150228035</v>
          </cell>
          <cell r="BJ35">
            <v>0</v>
          </cell>
          <cell r="BK35">
            <v>0</v>
          </cell>
          <cell r="BL35">
            <v>56935.273604014816</v>
          </cell>
          <cell r="BM35">
            <v>23906.767042588603</v>
          </cell>
          <cell r="BN35">
            <v>98552.058845081687</v>
          </cell>
          <cell r="BO35">
            <v>92467.250108432359</v>
          </cell>
          <cell r="BP35">
            <v>82220.484062892225</v>
          </cell>
          <cell r="BQ35">
            <v>56623.272837053592</v>
          </cell>
          <cell r="BR35">
            <v>55887.670848124704</v>
          </cell>
          <cell r="BS35">
            <v>51288.876636076719</v>
          </cell>
          <cell r="BT35">
            <v>2112574.116174642</v>
          </cell>
          <cell r="BU35">
            <v>0.25527956514613798</v>
          </cell>
          <cell r="BV35">
            <v>23380.416398015204</v>
          </cell>
          <cell r="BW35">
            <v>2091876.652949932</v>
          </cell>
          <cell r="BX35">
            <v>2741064.8572137947</v>
          </cell>
          <cell r="BY35">
            <v>635817.59101159882</v>
          </cell>
          <cell r="BZ35">
            <v>1513613.2335450135</v>
          </cell>
          <cell r="CA35">
            <v>18919408.888917986</v>
          </cell>
          <cell r="CB35">
            <v>0.19870561791457902</v>
          </cell>
          <cell r="CC35">
            <v>806865.11746486695</v>
          </cell>
          <cell r="CD35">
            <v>5168304.2633605022</v>
          </cell>
          <cell r="CE35">
            <v>1093155.1880312669</v>
          </cell>
          <cell r="CF35">
            <v>1069094.8390886304</v>
          </cell>
          <cell r="CG35">
            <v>4684667.7461953871</v>
          </cell>
          <cell r="CH35">
            <v>617900.22797630657</v>
          </cell>
          <cell r="CI35">
            <v>12419720.103140112</v>
          </cell>
          <cell r="CJ35">
            <v>2091876.652949932</v>
          </cell>
          <cell r="CK35">
            <v>820656.7340809278</v>
          </cell>
          <cell r="CL35">
            <v>635817.59101159882</v>
          </cell>
          <cell r="CM35">
            <v>482804.03681194817</v>
          </cell>
          <cell r="CN35">
            <v>1513613.2335450135</v>
          </cell>
          <cell r="CO35">
            <v>17639305.62230387</v>
          </cell>
          <cell r="CP35">
            <v>0.76215046939141795</v>
          </cell>
          <cell r="CQ35">
            <v>0.16600060800221017</v>
          </cell>
          <cell r="CR35">
            <v>8.5226674012795239E-2</v>
          </cell>
          <cell r="CS35">
            <v>5.5898307580515283E-2</v>
          </cell>
          <cell r="CT35">
            <v>9.7875058126419362E-2</v>
          </cell>
          <cell r="CU35">
            <v>0.20945045379962196</v>
          </cell>
          <cell r="CV35">
            <v>62.28479778701265</v>
          </cell>
          <cell r="CW35">
            <v>12.10204980934472</v>
          </cell>
          <cell r="CX35">
            <v>5.3536231730866977</v>
          </cell>
          <cell r="CY35">
            <v>4.4618604338916112</v>
          </cell>
          <cell r="CZ35">
            <v>2.5061718808094016</v>
          </cell>
          <cell r="DA35">
            <v>13.087601389791917</v>
          </cell>
          <cell r="DB35">
            <v>95.726227555066657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calImpact"/>
      <sheetName val="Total Expenses=YR1 rate"/>
      <sheetName val="RateOptions"/>
      <sheetName val="GeogVar"/>
      <sheetName val="CostDrivers"/>
      <sheetName val="CostSummary"/>
      <sheetName val="CleanData"/>
      <sheetName val="RawDataCalcs"/>
      <sheetName val="RawContractData"/>
      <sheetName val="Source"/>
      <sheetName val="Benchmark Statistics"/>
      <sheetName val="CleanData (2)"/>
      <sheetName val="RawDataCalcs (2)"/>
      <sheetName val="Lookups"/>
      <sheetName val="Source1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Z4">
            <v>65246</v>
          </cell>
        </row>
      </sheetData>
      <sheetData sheetId="7">
        <row r="4">
          <cell r="A4" t="str">
            <v>Community Healthlink, Inc.</v>
          </cell>
        </row>
        <row r="12">
          <cell r="L12">
            <v>0</v>
          </cell>
          <cell r="M12">
            <v>0.47942206821686489</v>
          </cell>
          <cell r="N12">
            <v>0.59107516603638444</v>
          </cell>
          <cell r="O12">
            <v>0</v>
          </cell>
          <cell r="P12">
            <v>0.14716929384611976</v>
          </cell>
          <cell r="Q12">
            <v>0.77728942548679902</v>
          </cell>
          <cell r="R12">
            <v>3.9793460642052985</v>
          </cell>
          <cell r="S12">
            <v>0</v>
          </cell>
          <cell r="T12">
            <v>6.8799860627629245E-2</v>
          </cell>
          <cell r="U12">
            <v>0</v>
          </cell>
          <cell r="V12">
            <v>0</v>
          </cell>
          <cell r="W12">
            <v>5.5124194334010168E-2</v>
          </cell>
          <cell r="X12">
            <v>0.10885459283877919</v>
          </cell>
          <cell r="Y12">
            <v>2.6944466327065229E-2</v>
          </cell>
          <cell r="Z12">
            <v>37657.202763269961</v>
          </cell>
          <cell r="AA12">
            <v>41481.381742527206</v>
          </cell>
          <cell r="AB12">
            <v>0</v>
          </cell>
          <cell r="AC12">
            <v>23180.701871100842</v>
          </cell>
          <cell r="AD12">
            <v>0</v>
          </cell>
          <cell r="AE12">
            <v>0</v>
          </cell>
          <cell r="AF12">
            <v>17680</v>
          </cell>
          <cell r="AG12">
            <v>30932.575823280509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17680</v>
          </cell>
          <cell r="AO12">
            <v>34886.084346898184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29311.548012080879</v>
          </cell>
          <cell r="AX12">
            <v>24465.648402802188</v>
          </cell>
          <cell r="AY12">
            <v>0</v>
          </cell>
          <cell r="AZ12">
            <v>0</v>
          </cell>
          <cell r="BA12">
            <v>17680</v>
          </cell>
          <cell r="BB12">
            <v>0</v>
          </cell>
          <cell r="BC12">
            <v>19175.405214616003</v>
          </cell>
          <cell r="BD12">
            <v>30701.478943232476</v>
          </cell>
          <cell r="BE12">
            <v>17680</v>
          </cell>
          <cell r="BF12">
            <v>17680</v>
          </cell>
          <cell r="BG12">
            <v>20600.958294636763</v>
          </cell>
          <cell r="BH12">
            <v>17680</v>
          </cell>
          <cell r="BI12">
            <v>17680</v>
          </cell>
          <cell r="BJ12">
            <v>17680</v>
          </cell>
          <cell r="BK12">
            <v>0</v>
          </cell>
          <cell r="BL12">
            <v>26322.226006430636</v>
          </cell>
          <cell r="BM12">
            <v>17680</v>
          </cell>
          <cell r="BN12">
            <v>38685.831484193477</v>
          </cell>
          <cell r="BO12">
            <v>23961.524385988574</v>
          </cell>
          <cell r="BP12">
            <v>30587.443549548538</v>
          </cell>
          <cell r="BQ12">
            <v>30374.501516037635</v>
          </cell>
          <cell r="BR12">
            <v>24065.321450444375</v>
          </cell>
          <cell r="BS12">
            <v>17680</v>
          </cell>
          <cell r="BT12">
            <v>31503.545017618279</v>
          </cell>
          <cell r="BU12">
            <v>0.10875010040212529</v>
          </cell>
          <cell r="BV12">
            <v>-665.86045161233085</v>
          </cell>
          <cell r="BW12">
            <v>30515.853243324513</v>
          </cell>
          <cell r="BX12">
            <v>-16660.640829909837</v>
          </cell>
          <cell r="BY12">
            <v>-9135.1790957685735</v>
          </cell>
          <cell r="BZ12">
            <v>32296.395852713424</v>
          </cell>
          <cell r="CA12">
            <v>334845.21992346627</v>
          </cell>
          <cell r="CB12">
            <v>0.10234530988206607</v>
          </cell>
          <cell r="CC12">
            <v>28765.51864806415</v>
          </cell>
          <cell r="CD12">
            <v>-5284.7957360897844</v>
          </cell>
          <cell r="CE12">
            <v>-25513.097684307293</v>
          </cell>
          <cell r="CF12">
            <v>-18906.352557716724</v>
          </cell>
          <cell r="CG12">
            <v>104276.06801952093</v>
          </cell>
          <cell r="CH12">
            <v>-14888.551594883442</v>
          </cell>
          <cell r="CI12">
            <v>216681.70258684226</v>
          </cell>
          <cell r="CJ12">
            <v>30515.853243324513</v>
          </cell>
          <cell r="CK12">
            <v>37966.399759004111</v>
          </cell>
          <cell r="CL12">
            <v>-9135.1790957685735</v>
          </cell>
          <cell r="CM12">
            <v>-8350.2509393528308</v>
          </cell>
          <cell r="CN12">
            <v>32296.395852713424</v>
          </cell>
          <cell r="CO12">
            <v>349550.20301367302</v>
          </cell>
          <cell r="CP12">
            <v>0.42294613762647371</v>
          </cell>
          <cell r="CQ12">
            <v>7.35905594988258E-2</v>
          </cell>
          <cell r="CR12">
            <v>8.2962594909753024E-2</v>
          </cell>
          <cell r="CS12">
            <v>1.7892516626277867E-2</v>
          </cell>
          <cell r="CT12">
            <v>-2.4732885317140137E-3</v>
          </cell>
          <cell r="CU12">
            <v>0.10586298753888759</v>
          </cell>
          <cell r="CV12">
            <v>42.600838212563545</v>
          </cell>
          <cell r="CW12">
            <v>5.3071657252094475</v>
          </cell>
          <cell r="CX12">
            <v>9.4706980108063252</v>
          </cell>
          <cell r="CY12">
            <v>-1.1700110965968467</v>
          </cell>
          <cell r="CZ12">
            <v>0.97393317189613549</v>
          </cell>
          <cell r="DA12">
            <v>13.160797782723682</v>
          </cell>
          <cell r="DB12">
            <v>80.826561365641552</v>
          </cell>
        </row>
        <row r="13">
          <cell r="L13">
            <v>22.480065146407</v>
          </cell>
          <cell r="M13">
            <v>1.0747456362248122</v>
          </cell>
          <cell r="N13">
            <v>2.7329248339636161</v>
          </cell>
          <cell r="O13">
            <v>0.29078784028338911</v>
          </cell>
          <cell r="P13">
            <v>3.2028307061538803</v>
          </cell>
          <cell r="Q13">
            <v>1.222710574513201</v>
          </cell>
          <cell r="R13">
            <v>16.372653935794702</v>
          </cell>
          <cell r="S13">
            <v>1.8165771771769958</v>
          </cell>
          <cell r="T13">
            <v>0.2110486242208556</v>
          </cell>
          <cell r="U13">
            <v>3.4194407243989366E-2</v>
          </cell>
          <cell r="V13">
            <v>0.29486276909909559</v>
          </cell>
          <cell r="W13">
            <v>7.0209138999323156E-2</v>
          </cell>
          <cell r="X13">
            <v>1.5136605586763723</v>
          </cell>
          <cell r="Y13">
            <v>5.6085836703237808E-2</v>
          </cell>
          <cell r="Z13">
            <v>72052.353271212793</v>
          </cell>
          <cell r="AA13">
            <v>117026.19825747277</v>
          </cell>
          <cell r="AB13">
            <v>0</v>
          </cell>
          <cell r="AC13">
            <v>67914.273684454718</v>
          </cell>
          <cell r="AD13">
            <v>0</v>
          </cell>
          <cell r="AE13">
            <v>0</v>
          </cell>
          <cell r="AF13">
            <v>53455.555555555555</v>
          </cell>
          <cell r="AG13">
            <v>131907.42417671951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33021.102040816324</v>
          </cell>
          <cell r="AO13">
            <v>40539.29362929229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41423.482202344065</v>
          </cell>
          <cell r="AX13">
            <v>45416.588620337287</v>
          </cell>
          <cell r="AY13">
            <v>0</v>
          </cell>
          <cell r="AZ13">
            <v>0</v>
          </cell>
          <cell r="BA13">
            <v>46311.377761028903</v>
          </cell>
          <cell r="BB13">
            <v>0</v>
          </cell>
          <cell r="BC13">
            <v>49620.594785383997</v>
          </cell>
          <cell r="BD13">
            <v>38093.165287536744</v>
          </cell>
          <cell r="BE13">
            <v>40410.526315789473</v>
          </cell>
          <cell r="BF13">
            <v>37251.243231968059</v>
          </cell>
          <cell r="BG13">
            <v>22717.334880124985</v>
          </cell>
          <cell r="BH13">
            <v>43556.327965630728</v>
          </cell>
          <cell r="BI13">
            <v>25381.428571428572</v>
          </cell>
          <cell r="BJ13">
            <v>23444.833333333336</v>
          </cell>
          <cell r="BK13">
            <v>0</v>
          </cell>
          <cell r="BL13">
            <v>37511.068903385298</v>
          </cell>
          <cell r="BM13">
            <v>93123.892778139023</v>
          </cell>
          <cell r="BN13">
            <v>75161.12445450385</v>
          </cell>
          <cell r="BO13">
            <v>120235.51265104848</v>
          </cell>
          <cell r="BP13">
            <v>39356.546406253517</v>
          </cell>
          <cell r="BQ13">
            <v>41923.151828633563</v>
          </cell>
          <cell r="BR13">
            <v>34860.115494120335</v>
          </cell>
          <cell r="BS13">
            <v>39268.080811067135</v>
          </cell>
          <cell r="BT13">
            <v>163298.52298238172</v>
          </cell>
          <cell r="BU13">
            <v>0.30951402011544682</v>
          </cell>
          <cell r="BV13">
            <v>1049.4056009049723</v>
          </cell>
          <cell r="BW13">
            <v>163902.66960738285</v>
          </cell>
          <cell r="BX13">
            <v>33115.928829909841</v>
          </cell>
          <cell r="BY13">
            <v>128723.77509576856</v>
          </cell>
          <cell r="BZ13">
            <v>235075.35593657917</v>
          </cell>
          <cell r="CA13">
            <v>1129686.2829272412</v>
          </cell>
          <cell r="CB13">
            <v>0.26182901402968572</v>
          </cell>
          <cell r="CC13">
            <v>147377.24535193585</v>
          </cell>
          <cell r="CD13">
            <v>16435.075736089784</v>
          </cell>
          <cell r="CE13">
            <v>121361.9336843073</v>
          </cell>
          <cell r="CF13">
            <v>62410.420557716723</v>
          </cell>
          <cell r="CG13">
            <v>413661.7199804791</v>
          </cell>
          <cell r="CH13">
            <v>40855.207594883439</v>
          </cell>
          <cell r="CI13">
            <v>653868.68941315776</v>
          </cell>
          <cell r="CJ13">
            <v>163902.66960738285</v>
          </cell>
          <cell r="CK13">
            <v>142570.37624099589</v>
          </cell>
          <cell r="CL13">
            <v>128723.77509576856</v>
          </cell>
          <cell r="CM13">
            <v>42639.914939352835</v>
          </cell>
          <cell r="CN13">
            <v>235075.35593657917</v>
          </cell>
          <cell r="CO13">
            <v>1317205.4996263271</v>
          </cell>
          <cell r="CP13">
            <v>0.63910146780055677</v>
          </cell>
          <cell r="CQ13">
            <v>0.15684808047742871</v>
          </cell>
          <cell r="CR13">
            <v>0.13469498808628508</v>
          </cell>
          <cell r="CS13">
            <v>0.11500826593670618</v>
          </cell>
          <cell r="CT13">
            <v>4.1578822468167242E-2</v>
          </cell>
          <cell r="CU13">
            <v>0.2119868675623521</v>
          </cell>
          <cell r="CV13">
            <v>143.50182671064113</v>
          </cell>
          <cell r="CW13">
            <v>32.845811714322963</v>
          </cell>
          <cell r="CX13">
            <v>28.993534782884005</v>
          </cell>
          <cell r="CY13">
            <v>22.748648622541225</v>
          </cell>
          <cell r="CZ13">
            <v>4.0384890780000875</v>
          </cell>
          <cell r="DA13">
            <v>37.670291443995474</v>
          </cell>
          <cell r="DB13">
            <v>259.3154627933456</v>
          </cell>
        </row>
      </sheetData>
      <sheetData sheetId="8">
        <row r="4">
          <cell r="BO4">
            <v>1</v>
          </cell>
        </row>
      </sheetData>
      <sheetData sheetId="9">
        <row r="3">
          <cell r="A3" t="str">
            <v>Community Healthlink, Inc.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CleanData (2)"/>
      <sheetName val="RawDataCalcs (2)"/>
      <sheetName val="Lookups"/>
      <sheetName val="RawDataCalcs"/>
      <sheetName val="Source"/>
      <sheetName val="FICurrentRate"/>
      <sheetName val="Model Budget"/>
      <sheetName val="Worksheet"/>
      <sheetName val="FamStabSala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L16">
            <v>0</v>
          </cell>
        </row>
        <row r="17">
          <cell r="L17">
            <v>13.715630301246565</v>
          </cell>
          <cell r="M17">
            <v>1.5606998071978428</v>
          </cell>
          <cell r="N17">
            <v>0.94922482111054507</v>
          </cell>
          <cell r="O17">
            <v>0</v>
          </cell>
          <cell r="P17">
            <v>0</v>
          </cell>
          <cell r="Q17">
            <v>0</v>
          </cell>
          <cell r="R17">
            <v>12.278325920854748</v>
          </cell>
          <cell r="S17">
            <v>0.26594159209584445</v>
          </cell>
          <cell r="T17">
            <v>9.3352270138168464E-2</v>
          </cell>
          <cell r="U17">
            <v>0</v>
          </cell>
          <cell r="V17">
            <v>0</v>
          </cell>
          <cell r="W17">
            <v>0</v>
          </cell>
          <cell r="X17">
            <v>3.5337729155301019</v>
          </cell>
          <cell r="Y17">
            <v>1.0843633294937423</v>
          </cell>
          <cell r="Z17">
            <v>635149.05965226574</v>
          </cell>
          <cell r="AA17">
            <v>0</v>
          </cell>
          <cell r="AB17">
            <v>289423.88155425119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95399.979722212971</v>
          </cell>
          <cell r="BE17">
            <v>0</v>
          </cell>
          <cell r="BF17">
            <v>0</v>
          </cell>
          <cell r="BG17">
            <v>0</v>
          </cell>
          <cell r="BH17">
            <v>149082.9837242121</v>
          </cell>
          <cell r="BI17">
            <v>0</v>
          </cell>
          <cell r="BJ17">
            <v>0</v>
          </cell>
          <cell r="BK17">
            <v>0</v>
          </cell>
          <cell r="BL17">
            <v>110054.81441723154</v>
          </cell>
          <cell r="BM17">
            <v>0</v>
          </cell>
          <cell r="BN17">
            <v>400007.34183446097</v>
          </cell>
          <cell r="BO17">
            <v>0</v>
          </cell>
          <cell r="BP17">
            <v>0</v>
          </cell>
          <cell r="BQ17">
            <v>0</v>
          </cell>
          <cell r="BR17">
            <v>87486.515622537816</v>
          </cell>
          <cell r="BS17">
            <v>149082.9837242121</v>
          </cell>
          <cell r="BT17">
            <v>64201.596502157932</v>
          </cell>
          <cell r="BU17">
            <v>0.23470344685741057</v>
          </cell>
          <cell r="BV17">
            <v>16.01243811628002</v>
          </cell>
          <cell r="BW17">
            <v>64179.066581320978</v>
          </cell>
          <cell r="BX17">
            <v>0</v>
          </cell>
          <cell r="BY17">
            <v>449.55555555555554</v>
          </cell>
          <cell r="BZ17">
            <v>58166.527683455301</v>
          </cell>
          <cell r="CA17">
            <v>358246.58334140829</v>
          </cell>
          <cell r="CB17">
            <v>0.18701432287169942</v>
          </cell>
          <cell r="CC17">
            <v>33444.303378043827</v>
          </cell>
          <cell r="CD17">
            <v>0</v>
          </cell>
          <cell r="CE17">
            <v>0</v>
          </cell>
          <cell r="CF17">
            <v>0</v>
          </cell>
          <cell r="CG17">
            <v>227049.79214470668</v>
          </cell>
          <cell r="CH17">
            <v>6717.7836214752688</v>
          </cell>
          <cell r="CI17">
            <v>266623.66945053823</v>
          </cell>
          <cell r="CJ17">
            <v>64179.066581320978</v>
          </cell>
          <cell r="CK17">
            <v>35766.888888888891</v>
          </cell>
          <cell r="CL17">
            <v>449.55555555555554</v>
          </cell>
          <cell r="CM17">
            <v>9716</v>
          </cell>
          <cell r="CN17">
            <v>58166.527683455301</v>
          </cell>
          <cell r="CO17">
            <v>416412.14015876781</v>
          </cell>
          <cell r="CP17">
            <v>0.87831108535723879</v>
          </cell>
          <cell r="CQ17">
            <v>0.16744893411282175</v>
          </cell>
          <cell r="CR17">
            <v>0</v>
          </cell>
          <cell r="CS17">
            <v>0</v>
          </cell>
          <cell r="CT17">
            <v>0</v>
          </cell>
          <cell r="CU17">
            <v>0.15916705613811943</v>
          </cell>
          <cell r="CV17">
            <v>243.99908573780101</v>
          </cell>
          <cell r="CW17">
            <v>32.103055682549908</v>
          </cell>
          <cell r="CX17">
            <v>5.5659646574679247</v>
          </cell>
          <cell r="CY17">
            <v>6.9958847736625515E-2</v>
          </cell>
          <cell r="CZ17">
            <v>1.5119825708061001</v>
          </cell>
          <cell r="DA17">
            <v>32.83724687471225</v>
          </cell>
          <cell r="DB17">
            <v>302.50137230893381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DC24E-0CC5-4588-9C05-054003B10E86}">
  <dimension ref="A1:CT28"/>
  <sheetViews>
    <sheetView topLeftCell="BO1" workbookViewId="0">
      <selection activeCell="CL33" sqref="CL33"/>
    </sheetView>
  </sheetViews>
  <sheetFormatPr defaultRowHeight="12.75"/>
  <cols>
    <col min="1" max="1" width="38.42578125" style="1" customWidth="1"/>
    <col min="2" max="2" width="12.85546875" style="6" customWidth="1"/>
    <col min="3" max="62" width="7.7109375" style="1" hidden="1" customWidth="1"/>
    <col min="63" max="82" width="7.7109375" style="1" customWidth="1"/>
    <col min="83" max="256" width="8.7109375" style="1"/>
    <col min="257" max="257" width="38.42578125" style="1" customWidth="1"/>
    <col min="258" max="258" width="12.85546875" style="1" customWidth="1"/>
    <col min="259" max="318" width="0" style="1" hidden="1" customWidth="1"/>
    <col min="319" max="338" width="7.7109375" style="1" customWidth="1"/>
    <col min="339" max="512" width="8.7109375" style="1"/>
    <col min="513" max="513" width="38.42578125" style="1" customWidth="1"/>
    <col min="514" max="514" width="12.85546875" style="1" customWidth="1"/>
    <col min="515" max="574" width="0" style="1" hidden="1" customWidth="1"/>
    <col min="575" max="594" width="7.7109375" style="1" customWidth="1"/>
    <col min="595" max="768" width="8.7109375" style="1"/>
    <col min="769" max="769" width="38.42578125" style="1" customWidth="1"/>
    <col min="770" max="770" width="12.85546875" style="1" customWidth="1"/>
    <col min="771" max="830" width="0" style="1" hidden="1" customWidth="1"/>
    <col min="831" max="850" width="7.7109375" style="1" customWidth="1"/>
    <col min="851" max="1024" width="8.7109375" style="1"/>
    <col min="1025" max="1025" width="38.42578125" style="1" customWidth="1"/>
    <col min="1026" max="1026" width="12.85546875" style="1" customWidth="1"/>
    <col min="1027" max="1086" width="0" style="1" hidden="1" customWidth="1"/>
    <col min="1087" max="1106" width="7.7109375" style="1" customWidth="1"/>
    <col min="1107" max="1280" width="8.7109375" style="1"/>
    <col min="1281" max="1281" width="38.42578125" style="1" customWidth="1"/>
    <col min="1282" max="1282" width="12.85546875" style="1" customWidth="1"/>
    <col min="1283" max="1342" width="0" style="1" hidden="1" customWidth="1"/>
    <col min="1343" max="1362" width="7.7109375" style="1" customWidth="1"/>
    <col min="1363" max="1536" width="8.7109375" style="1"/>
    <col min="1537" max="1537" width="38.42578125" style="1" customWidth="1"/>
    <col min="1538" max="1538" width="12.85546875" style="1" customWidth="1"/>
    <col min="1539" max="1598" width="0" style="1" hidden="1" customWidth="1"/>
    <col min="1599" max="1618" width="7.7109375" style="1" customWidth="1"/>
    <col min="1619" max="1792" width="8.7109375" style="1"/>
    <col min="1793" max="1793" width="38.42578125" style="1" customWidth="1"/>
    <col min="1794" max="1794" width="12.85546875" style="1" customWidth="1"/>
    <col min="1795" max="1854" width="0" style="1" hidden="1" customWidth="1"/>
    <col min="1855" max="1874" width="7.7109375" style="1" customWidth="1"/>
    <col min="1875" max="2048" width="8.7109375" style="1"/>
    <col min="2049" max="2049" width="38.42578125" style="1" customWidth="1"/>
    <col min="2050" max="2050" width="12.85546875" style="1" customWidth="1"/>
    <col min="2051" max="2110" width="0" style="1" hidden="1" customWidth="1"/>
    <col min="2111" max="2130" width="7.7109375" style="1" customWidth="1"/>
    <col min="2131" max="2304" width="8.7109375" style="1"/>
    <col min="2305" max="2305" width="38.42578125" style="1" customWidth="1"/>
    <col min="2306" max="2306" width="12.85546875" style="1" customWidth="1"/>
    <col min="2307" max="2366" width="0" style="1" hidden="1" customWidth="1"/>
    <col min="2367" max="2386" width="7.7109375" style="1" customWidth="1"/>
    <col min="2387" max="2560" width="8.7109375" style="1"/>
    <col min="2561" max="2561" width="38.42578125" style="1" customWidth="1"/>
    <col min="2562" max="2562" width="12.85546875" style="1" customWidth="1"/>
    <col min="2563" max="2622" width="0" style="1" hidden="1" customWidth="1"/>
    <col min="2623" max="2642" width="7.7109375" style="1" customWidth="1"/>
    <col min="2643" max="2816" width="8.7109375" style="1"/>
    <col min="2817" max="2817" width="38.42578125" style="1" customWidth="1"/>
    <col min="2818" max="2818" width="12.85546875" style="1" customWidth="1"/>
    <col min="2819" max="2878" width="0" style="1" hidden="1" customWidth="1"/>
    <col min="2879" max="2898" width="7.7109375" style="1" customWidth="1"/>
    <col min="2899" max="3072" width="8.7109375" style="1"/>
    <col min="3073" max="3073" width="38.42578125" style="1" customWidth="1"/>
    <col min="3074" max="3074" width="12.85546875" style="1" customWidth="1"/>
    <col min="3075" max="3134" width="0" style="1" hidden="1" customWidth="1"/>
    <col min="3135" max="3154" width="7.7109375" style="1" customWidth="1"/>
    <col min="3155" max="3328" width="8.7109375" style="1"/>
    <col min="3329" max="3329" width="38.42578125" style="1" customWidth="1"/>
    <col min="3330" max="3330" width="12.85546875" style="1" customWidth="1"/>
    <col min="3331" max="3390" width="0" style="1" hidden="1" customWidth="1"/>
    <col min="3391" max="3410" width="7.7109375" style="1" customWidth="1"/>
    <col min="3411" max="3584" width="8.7109375" style="1"/>
    <col min="3585" max="3585" width="38.42578125" style="1" customWidth="1"/>
    <col min="3586" max="3586" width="12.85546875" style="1" customWidth="1"/>
    <col min="3587" max="3646" width="0" style="1" hidden="1" customWidth="1"/>
    <col min="3647" max="3666" width="7.7109375" style="1" customWidth="1"/>
    <col min="3667" max="3840" width="8.7109375" style="1"/>
    <col min="3841" max="3841" width="38.42578125" style="1" customWidth="1"/>
    <col min="3842" max="3842" width="12.85546875" style="1" customWidth="1"/>
    <col min="3843" max="3902" width="0" style="1" hidden="1" customWidth="1"/>
    <col min="3903" max="3922" width="7.7109375" style="1" customWidth="1"/>
    <col min="3923" max="4096" width="8.7109375" style="1"/>
    <col min="4097" max="4097" width="38.42578125" style="1" customWidth="1"/>
    <col min="4098" max="4098" width="12.85546875" style="1" customWidth="1"/>
    <col min="4099" max="4158" width="0" style="1" hidden="1" customWidth="1"/>
    <col min="4159" max="4178" width="7.7109375" style="1" customWidth="1"/>
    <col min="4179" max="4352" width="8.7109375" style="1"/>
    <col min="4353" max="4353" width="38.42578125" style="1" customWidth="1"/>
    <col min="4354" max="4354" width="12.85546875" style="1" customWidth="1"/>
    <col min="4355" max="4414" width="0" style="1" hidden="1" customWidth="1"/>
    <col min="4415" max="4434" width="7.7109375" style="1" customWidth="1"/>
    <col min="4435" max="4608" width="8.7109375" style="1"/>
    <col min="4609" max="4609" width="38.42578125" style="1" customWidth="1"/>
    <col min="4610" max="4610" width="12.85546875" style="1" customWidth="1"/>
    <col min="4611" max="4670" width="0" style="1" hidden="1" customWidth="1"/>
    <col min="4671" max="4690" width="7.7109375" style="1" customWidth="1"/>
    <col min="4691" max="4864" width="8.7109375" style="1"/>
    <col min="4865" max="4865" width="38.42578125" style="1" customWidth="1"/>
    <col min="4866" max="4866" width="12.85546875" style="1" customWidth="1"/>
    <col min="4867" max="4926" width="0" style="1" hidden="1" customWidth="1"/>
    <col min="4927" max="4946" width="7.7109375" style="1" customWidth="1"/>
    <col min="4947" max="5120" width="8.7109375" style="1"/>
    <col min="5121" max="5121" width="38.42578125" style="1" customWidth="1"/>
    <col min="5122" max="5122" width="12.85546875" style="1" customWidth="1"/>
    <col min="5123" max="5182" width="0" style="1" hidden="1" customWidth="1"/>
    <col min="5183" max="5202" width="7.7109375" style="1" customWidth="1"/>
    <col min="5203" max="5376" width="8.7109375" style="1"/>
    <col min="5377" max="5377" width="38.42578125" style="1" customWidth="1"/>
    <col min="5378" max="5378" width="12.85546875" style="1" customWidth="1"/>
    <col min="5379" max="5438" width="0" style="1" hidden="1" customWidth="1"/>
    <col min="5439" max="5458" width="7.7109375" style="1" customWidth="1"/>
    <col min="5459" max="5632" width="8.7109375" style="1"/>
    <col min="5633" max="5633" width="38.42578125" style="1" customWidth="1"/>
    <col min="5634" max="5634" width="12.85546875" style="1" customWidth="1"/>
    <col min="5635" max="5694" width="0" style="1" hidden="1" customWidth="1"/>
    <col min="5695" max="5714" width="7.7109375" style="1" customWidth="1"/>
    <col min="5715" max="5888" width="8.7109375" style="1"/>
    <col min="5889" max="5889" width="38.42578125" style="1" customWidth="1"/>
    <col min="5890" max="5890" width="12.85546875" style="1" customWidth="1"/>
    <col min="5891" max="5950" width="0" style="1" hidden="1" customWidth="1"/>
    <col min="5951" max="5970" width="7.7109375" style="1" customWidth="1"/>
    <col min="5971" max="6144" width="8.7109375" style="1"/>
    <col min="6145" max="6145" width="38.42578125" style="1" customWidth="1"/>
    <col min="6146" max="6146" width="12.85546875" style="1" customWidth="1"/>
    <col min="6147" max="6206" width="0" style="1" hidden="1" customWidth="1"/>
    <col min="6207" max="6226" width="7.7109375" style="1" customWidth="1"/>
    <col min="6227" max="6400" width="8.7109375" style="1"/>
    <col min="6401" max="6401" width="38.42578125" style="1" customWidth="1"/>
    <col min="6402" max="6402" width="12.85546875" style="1" customWidth="1"/>
    <col min="6403" max="6462" width="0" style="1" hidden="1" customWidth="1"/>
    <col min="6463" max="6482" width="7.7109375" style="1" customWidth="1"/>
    <col min="6483" max="6656" width="8.7109375" style="1"/>
    <col min="6657" max="6657" width="38.42578125" style="1" customWidth="1"/>
    <col min="6658" max="6658" width="12.85546875" style="1" customWidth="1"/>
    <col min="6659" max="6718" width="0" style="1" hidden="1" customWidth="1"/>
    <col min="6719" max="6738" width="7.7109375" style="1" customWidth="1"/>
    <col min="6739" max="6912" width="8.7109375" style="1"/>
    <col min="6913" max="6913" width="38.42578125" style="1" customWidth="1"/>
    <col min="6914" max="6914" width="12.85546875" style="1" customWidth="1"/>
    <col min="6915" max="6974" width="0" style="1" hidden="1" customWidth="1"/>
    <col min="6975" max="6994" width="7.7109375" style="1" customWidth="1"/>
    <col min="6995" max="7168" width="8.7109375" style="1"/>
    <col min="7169" max="7169" width="38.42578125" style="1" customWidth="1"/>
    <col min="7170" max="7170" width="12.85546875" style="1" customWidth="1"/>
    <col min="7171" max="7230" width="0" style="1" hidden="1" customWidth="1"/>
    <col min="7231" max="7250" width="7.7109375" style="1" customWidth="1"/>
    <col min="7251" max="7424" width="8.7109375" style="1"/>
    <col min="7425" max="7425" width="38.42578125" style="1" customWidth="1"/>
    <col min="7426" max="7426" width="12.85546875" style="1" customWidth="1"/>
    <col min="7427" max="7486" width="0" style="1" hidden="1" customWidth="1"/>
    <col min="7487" max="7506" width="7.7109375" style="1" customWidth="1"/>
    <col min="7507" max="7680" width="8.7109375" style="1"/>
    <col min="7681" max="7681" width="38.42578125" style="1" customWidth="1"/>
    <col min="7682" max="7682" width="12.85546875" style="1" customWidth="1"/>
    <col min="7683" max="7742" width="0" style="1" hidden="1" customWidth="1"/>
    <col min="7743" max="7762" width="7.7109375" style="1" customWidth="1"/>
    <col min="7763" max="7936" width="8.7109375" style="1"/>
    <col min="7937" max="7937" width="38.42578125" style="1" customWidth="1"/>
    <col min="7938" max="7938" width="12.85546875" style="1" customWidth="1"/>
    <col min="7939" max="7998" width="0" style="1" hidden="1" customWidth="1"/>
    <col min="7999" max="8018" width="7.7109375" style="1" customWidth="1"/>
    <col min="8019" max="8192" width="8.7109375" style="1"/>
    <col min="8193" max="8193" width="38.42578125" style="1" customWidth="1"/>
    <col min="8194" max="8194" width="12.85546875" style="1" customWidth="1"/>
    <col min="8195" max="8254" width="0" style="1" hidden="1" customWidth="1"/>
    <col min="8255" max="8274" width="7.7109375" style="1" customWidth="1"/>
    <col min="8275" max="8448" width="8.7109375" style="1"/>
    <col min="8449" max="8449" width="38.42578125" style="1" customWidth="1"/>
    <col min="8450" max="8450" width="12.85546875" style="1" customWidth="1"/>
    <col min="8451" max="8510" width="0" style="1" hidden="1" customWidth="1"/>
    <col min="8511" max="8530" width="7.7109375" style="1" customWidth="1"/>
    <col min="8531" max="8704" width="8.7109375" style="1"/>
    <col min="8705" max="8705" width="38.42578125" style="1" customWidth="1"/>
    <col min="8706" max="8706" width="12.85546875" style="1" customWidth="1"/>
    <col min="8707" max="8766" width="0" style="1" hidden="1" customWidth="1"/>
    <col min="8767" max="8786" width="7.7109375" style="1" customWidth="1"/>
    <col min="8787" max="8960" width="8.7109375" style="1"/>
    <col min="8961" max="8961" width="38.42578125" style="1" customWidth="1"/>
    <col min="8962" max="8962" width="12.85546875" style="1" customWidth="1"/>
    <col min="8963" max="9022" width="0" style="1" hidden="1" customWidth="1"/>
    <col min="9023" max="9042" width="7.7109375" style="1" customWidth="1"/>
    <col min="9043" max="9216" width="8.7109375" style="1"/>
    <col min="9217" max="9217" width="38.42578125" style="1" customWidth="1"/>
    <col min="9218" max="9218" width="12.85546875" style="1" customWidth="1"/>
    <col min="9219" max="9278" width="0" style="1" hidden="1" customWidth="1"/>
    <col min="9279" max="9298" width="7.7109375" style="1" customWidth="1"/>
    <col min="9299" max="9472" width="8.7109375" style="1"/>
    <col min="9473" max="9473" width="38.42578125" style="1" customWidth="1"/>
    <col min="9474" max="9474" width="12.85546875" style="1" customWidth="1"/>
    <col min="9475" max="9534" width="0" style="1" hidden="1" customWidth="1"/>
    <col min="9535" max="9554" width="7.7109375" style="1" customWidth="1"/>
    <col min="9555" max="9728" width="8.7109375" style="1"/>
    <col min="9729" max="9729" width="38.42578125" style="1" customWidth="1"/>
    <col min="9730" max="9730" width="12.85546875" style="1" customWidth="1"/>
    <col min="9731" max="9790" width="0" style="1" hidden="1" customWidth="1"/>
    <col min="9791" max="9810" width="7.7109375" style="1" customWidth="1"/>
    <col min="9811" max="9984" width="8.7109375" style="1"/>
    <col min="9985" max="9985" width="38.42578125" style="1" customWidth="1"/>
    <col min="9986" max="9986" width="12.85546875" style="1" customWidth="1"/>
    <col min="9987" max="10046" width="0" style="1" hidden="1" customWidth="1"/>
    <col min="10047" max="10066" width="7.7109375" style="1" customWidth="1"/>
    <col min="10067" max="10240" width="8.7109375" style="1"/>
    <col min="10241" max="10241" width="38.42578125" style="1" customWidth="1"/>
    <col min="10242" max="10242" width="12.85546875" style="1" customWidth="1"/>
    <col min="10243" max="10302" width="0" style="1" hidden="1" customWidth="1"/>
    <col min="10303" max="10322" width="7.7109375" style="1" customWidth="1"/>
    <col min="10323" max="10496" width="8.7109375" style="1"/>
    <col min="10497" max="10497" width="38.42578125" style="1" customWidth="1"/>
    <col min="10498" max="10498" width="12.85546875" style="1" customWidth="1"/>
    <col min="10499" max="10558" width="0" style="1" hidden="1" customWidth="1"/>
    <col min="10559" max="10578" width="7.7109375" style="1" customWidth="1"/>
    <col min="10579" max="10752" width="8.7109375" style="1"/>
    <col min="10753" max="10753" width="38.42578125" style="1" customWidth="1"/>
    <col min="10754" max="10754" width="12.85546875" style="1" customWidth="1"/>
    <col min="10755" max="10814" width="0" style="1" hidden="1" customWidth="1"/>
    <col min="10815" max="10834" width="7.7109375" style="1" customWidth="1"/>
    <col min="10835" max="11008" width="8.7109375" style="1"/>
    <col min="11009" max="11009" width="38.42578125" style="1" customWidth="1"/>
    <col min="11010" max="11010" width="12.85546875" style="1" customWidth="1"/>
    <col min="11011" max="11070" width="0" style="1" hidden="1" customWidth="1"/>
    <col min="11071" max="11090" width="7.7109375" style="1" customWidth="1"/>
    <col min="11091" max="11264" width="8.7109375" style="1"/>
    <col min="11265" max="11265" width="38.42578125" style="1" customWidth="1"/>
    <col min="11266" max="11266" width="12.85546875" style="1" customWidth="1"/>
    <col min="11267" max="11326" width="0" style="1" hidden="1" customWidth="1"/>
    <col min="11327" max="11346" width="7.7109375" style="1" customWidth="1"/>
    <col min="11347" max="11520" width="8.7109375" style="1"/>
    <col min="11521" max="11521" width="38.42578125" style="1" customWidth="1"/>
    <col min="11522" max="11522" width="12.85546875" style="1" customWidth="1"/>
    <col min="11523" max="11582" width="0" style="1" hidden="1" customWidth="1"/>
    <col min="11583" max="11602" width="7.7109375" style="1" customWidth="1"/>
    <col min="11603" max="11776" width="8.7109375" style="1"/>
    <col min="11777" max="11777" width="38.42578125" style="1" customWidth="1"/>
    <col min="11778" max="11778" width="12.85546875" style="1" customWidth="1"/>
    <col min="11779" max="11838" width="0" style="1" hidden="1" customWidth="1"/>
    <col min="11839" max="11858" width="7.7109375" style="1" customWidth="1"/>
    <col min="11859" max="12032" width="8.7109375" style="1"/>
    <col min="12033" max="12033" width="38.42578125" style="1" customWidth="1"/>
    <col min="12034" max="12034" width="12.85546875" style="1" customWidth="1"/>
    <col min="12035" max="12094" width="0" style="1" hidden="1" customWidth="1"/>
    <col min="12095" max="12114" width="7.7109375" style="1" customWidth="1"/>
    <col min="12115" max="12288" width="8.7109375" style="1"/>
    <col min="12289" max="12289" width="38.42578125" style="1" customWidth="1"/>
    <col min="12290" max="12290" width="12.85546875" style="1" customWidth="1"/>
    <col min="12291" max="12350" width="0" style="1" hidden="1" customWidth="1"/>
    <col min="12351" max="12370" width="7.7109375" style="1" customWidth="1"/>
    <col min="12371" max="12544" width="8.7109375" style="1"/>
    <col min="12545" max="12545" width="38.42578125" style="1" customWidth="1"/>
    <col min="12546" max="12546" width="12.85546875" style="1" customWidth="1"/>
    <col min="12547" max="12606" width="0" style="1" hidden="1" customWidth="1"/>
    <col min="12607" max="12626" width="7.7109375" style="1" customWidth="1"/>
    <col min="12627" max="12800" width="8.7109375" style="1"/>
    <col min="12801" max="12801" width="38.42578125" style="1" customWidth="1"/>
    <col min="12802" max="12802" width="12.85546875" style="1" customWidth="1"/>
    <col min="12803" max="12862" width="0" style="1" hidden="1" customWidth="1"/>
    <col min="12863" max="12882" width="7.7109375" style="1" customWidth="1"/>
    <col min="12883" max="13056" width="8.7109375" style="1"/>
    <col min="13057" max="13057" width="38.42578125" style="1" customWidth="1"/>
    <col min="13058" max="13058" width="12.85546875" style="1" customWidth="1"/>
    <col min="13059" max="13118" width="0" style="1" hidden="1" customWidth="1"/>
    <col min="13119" max="13138" width="7.7109375" style="1" customWidth="1"/>
    <col min="13139" max="13312" width="8.7109375" style="1"/>
    <col min="13313" max="13313" width="38.42578125" style="1" customWidth="1"/>
    <col min="13314" max="13314" width="12.85546875" style="1" customWidth="1"/>
    <col min="13315" max="13374" width="0" style="1" hidden="1" customWidth="1"/>
    <col min="13375" max="13394" width="7.7109375" style="1" customWidth="1"/>
    <col min="13395" max="13568" width="8.7109375" style="1"/>
    <col min="13569" max="13569" width="38.42578125" style="1" customWidth="1"/>
    <col min="13570" max="13570" width="12.85546875" style="1" customWidth="1"/>
    <col min="13571" max="13630" width="0" style="1" hidden="1" customWidth="1"/>
    <col min="13631" max="13650" width="7.7109375" style="1" customWidth="1"/>
    <col min="13651" max="13824" width="8.7109375" style="1"/>
    <col min="13825" max="13825" width="38.42578125" style="1" customWidth="1"/>
    <col min="13826" max="13826" width="12.85546875" style="1" customWidth="1"/>
    <col min="13827" max="13886" width="0" style="1" hidden="1" customWidth="1"/>
    <col min="13887" max="13906" width="7.7109375" style="1" customWidth="1"/>
    <col min="13907" max="14080" width="8.7109375" style="1"/>
    <col min="14081" max="14081" width="38.42578125" style="1" customWidth="1"/>
    <col min="14082" max="14082" width="12.85546875" style="1" customWidth="1"/>
    <col min="14083" max="14142" width="0" style="1" hidden="1" customWidth="1"/>
    <col min="14143" max="14162" width="7.7109375" style="1" customWidth="1"/>
    <col min="14163" max="14336" width="8.7109375" style="1"/>
    <col min="14337" max="14337" width="38.42578125" style="1" customWidth="1"/>
    <col min="14338" max="14338" width="12.85546875" style="1" customWidth="1"/>
    <col min="14339" max="14398" width="0" style="1" hidden="1" customWidth="1"/>
    <col min="14399" max="14418" width="7.7109375" style="1" customWidth="1"/>
    <col min="14419" max="14592" width="8.7109375" style="1"/>
    <col min="14593" max="14593" width="38.42578125" style="1" customWidth="1"/>
    <col min="14594" max="14594" width="12.85546875" style="1" customWidth="1"/>
    <col min="14595" max="14654" width="0" style="1" hidden="1" customWidth="1"/>
    <col min="14655" max="14674" width="7.7109375" style="1" customWidth="1"/>
    <col min="14675" max="14848" width="8.7109375" style="1"/>
    <col min="14849" max="14849" width="38.42578125" style="1" customWidth="1"/>
    <col min="14850" max="14850" width="12.85546875" style="1" customWidth="1"/>
    <col min="14851" max="14910" width="0" style="1" hidden="1" customWidth="1"/>
    <col min="14911" max="14930" width="7.7109375" style="1" customWidth="1"/>
    <col min="14931" max="15104" width="8.7109375" style="1"/>
    <col min="15105" max="15105" width="38.42578125" style="1" customWidth="1"/>
    <col min="15106" max="15106" width="12.85546875" style="1" customWidth="1"/>
    <col min="15107" max="15166" width="0" style="1" hidden="1" customWidth="1"/>
    <col min="15167" max="15186" width="7.7109375" style="1" customWidth="1"/>
    <col min="15187" max="15360" width="8.7109375" style="1"/>
    <col min="15361" max="15361" width="38.42578125" style="1" customWidth="1"/>
    <col min="15362" max="15362" width="12.85546875" style="1" customWidth="1"/>
    <col min="15363" max="15422" width="0" style="1" hidden="1" customWidth="1"/>
    <col min="15423" max="15442" width="7.7109375" style="1" customWidth="1"/>
    <col min="15443" max="15616" width="8.7109375" style="1"/>
    <col min="15617" max="15617" width="38.42578125" style="1" customWidth="1"/>
    <col min="15618" max="15618" width="12.85546875" style="1" customWidth="1"/>
    <col min="15619" max="15678" width="0" style="1" hidden="1" customWidth="1"/>
    <col min="15679" max="15698" width="7.7109375" style="1" customWidth="1"/>
    <col min="15699" max="15872" width="8.7109375" style="1"/>
    <col min="15873" max="15873" width="38.42578125" style="1" customWidth="1"/>
    <col min="15874" max="15874" width="12.85546875" style="1" customWidth="1"/>
    <col min="15875" max="15934" width="0" style="1" hidden="1" customWidth="1"/>
    <col min="15935" max="15954" width="7.7109375" style="1" customWidth="1"/>
    <col min="15955" max="16128" width="8.7109375" style="1"/>
    <col min="16129" max="16129" width="38.42578125" style="1" customWidth="1"/>
    <col min="16130" max="16130" width="12.85546875" style="1" customWidth="1"/>
    <col min="16131" max="16190" width="0" style="1" hidden="1" customWidth="1"/>
    <col min="16191" max="16210" width="7.7109375" style="1" customWidth="1"/>
    <col min="16211" max="16384" width="8.7109375" style="1"/>
  </cols>
  <sheetData>
    <row r="1" spans="1:98" ht="18">
      <c r="A1" s="484" t="s">
        <v>0</v>
      </c>
      <c r="B1" s="485"/>
    </row>
    <row r="2" spans="1:98" ht="15.75">
      <c r="A2" s="2" t="s">
        <v>1</v>
      </c>
      <c r="B2" s="3"/>
    </row>
    <row r="3" spans="1:98" ht="15.75" thickBot="1">
      <c r="A3" s="4" t="s">
        <v>2</v>
      </c>
      <c r="B3" s="5"/>
    </row>
    <row r="6" spans="1:98">
      <c r="BQ6" s="7" t="s">
        <v>3</v>
      </c>
      <c r="BR6" s="7" t="s">
        <v>3</v>
      </c>
      <c r="BS6" s="7" t="s">
        <v>3</v>
      </c>
      <c r="BT6" s="7" t="s">
        <v>3</v>
      </c>
      <c r="BU6" s="8" t="s">
        <v>4</v>
      </c>
      <c r="BV6" s="8" t="s">
        <v>4</v>
      </c>
      <c r="BW6" s="8" t="s">
        <v>4</v>
      </c>
      <c r="BX6" s="8" t="s">
        <v>4</v>
      </c>
      <c r="BY6" s="9" t="s">
        <v>5</v>
      </c>
      <c r="BZ6" s="9" t="s">
        <v>5</v>
      </c>
      <c r="CA6" s="9" t="s">
        <v>5</v>
      </c>
      <c r="CB6" s="9" t="s">
        <v>5</v>
      </c>
      <c r="CC6" s="10" t="s">
        <v>6</v>
      </c>
      <c r="CD6" s="10" t="s">
        <v>6</v>
      </c>
      <c r="CE6" s="10" t="s">
        <v>6</v>
      </c>
      <c r="CF6" s="10" t="s">
        <v>6</v>
      </c>
      <c r="CG6" s="11" t="s">
        <v>7</v>
      </c>
      <c r="CH6" s="11" t="s">
        <v>7</v>
      </c>
      <c r="CI6" s="11" t="s">
        <v>7</v>
      </c>
      <c r="CJ6" s="11" t="s">
        <v>7</v>
      </c>
    </row>
    <row r="7" spans="1:98" s="6" customFormat="1">
      <c r="B7" s="6" t="s">
        <v>8</v>
      </c>
      <c r="C7" s="12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17</v>
      </c>
      <c r="L7" s="12" t="s">
        <v>18</v>
      </c>
      <c r="M7" s="12" t="s">
        <v>19</v>
      </c>
      <c r="N7" s="12" t="s">
        <v>20</v>
      </c>
      <c r="O7" s="12" t="s">
        <v>21</v>
      </c>
      <c r="P7" s="12" t="s">
        <v>22</v>
      </c>
      <c r="Q7" s="12" t="s">
        <v>23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  <c r="W7" s="12" t="s">
        <v>29</v>
      </c>
      <c r="X7" s="12" t="s">
        <v>30</v>
      </c>
      <c r="Y7" s="12" t="s">
        <v>31</v>
      </c>
      <c r="Z7" s="12" t="s">
        <v>32</v>
      </c>
      <c r="AA7" s="12" t="s">
        <v>33</v>
      </c>
      <c r="AB7" s="12" t="s">
        <v>34</v>
      </c>
      <c r="AC7" s="12" t="s">
        <v>35</v>
      </c>
      <c r="AD7" s="12" t="s">
        <v>36</v>
      </c>
      <c r="AE7" s="12" t="s">
        <v>37</v>
      </c>
      <c r="AF7" s="12" t="s">
        <v>38</v>
      </c>
      <c r="AG7" s="12" t="s">
        <v>39</v>
      </c>
      <c r="AH7" s="12" t="s">
        <v>40</v>
      </c>
      <c r="AI7" s="12" t="s">
        <v>41</v>
      </c>
      <c r="AJ7" s="12" t="s">
        <v>42</v>
      </c>
      <c r="AK7" s="12" t="s">
        <v>43</v>
      </c>
      <c r="AL7" s="12" t="s">
        <v>44</v>
      </c>
      <c r="AM7" s="12" t="s">
        <v>45</v>
      </c>
      <c r="AN7" s="12" t="s">
        <v>46</v>
      </c>
      <c r="AO7" s="12" t="s">
        <v>47</v>
      </c>
      <c r="AP7" s="12" t="s">
        <v>48</v>
      </c>
      <c r="AQ7" s="12" t="s">
        <v>49</v>
      </c>
      <c r="AR7" s="12" t="s">
        <v>50</v>
      </c>
      <c r="AS7" s="12" t="s">
        <v>51</v>
      </c>
      <c r="AT7" s="12" t="s">
        <v>52</v>
      </c>
      <c r="AU7" s="6" t="s">
        <v>53</v>
      </c>
      <c r="AV7" s="6" t="s">
        <v>54</v>
      </c>
      <c r="AW7" s="6" t="s">
        <v>55</v>
      </c>
      <c r="AX7" s="6" t="s">
        <v>56</v>
      </c>
      <c r="AY7" s="6" t="s">
        <v>57</v>
      </c>
      <c r="AZ7" s="6" t="s">
        <v>58</v>
      </c>
      <c r="BA7" s="6" t="s">
        <v>59</v>
      </c>
      <c r="BB7" s="6" t="s">
        <v>60</v>
      </c>
      <c r="BC7" s="6" t="s">
        <v>61</v>
      </c>
      <c r="BD7" s="6" t="s">
        <v>62</v>
      </c>
      <c r="BE7" s="6" t="s">
        <v>63</v>
      </c>
      <c r="BF7" s="6" t="s">
        <v>64</v>
      </c>
      <c r="BG7" s="6" t="s">
        <v>65</v>
      </c>
      <c r="BH7" s="6" t="s">
        <v>66</v>
      </c>
      <c r="BI7" s="6" t="s">
        <v>67</v>
      </c>
      <c r="BJ7" s="6" t="s">
        <v>68</v>
      </c>
      <c r="BK7" s="6" t="s">
        <v>69</v>
      </c>
      <c r="BL7" s="6" t="s">
        <v>70</v>
      </c>
      <c r="BM7" s="6" t="s">
        <v>71</v>
      </c>
      <c r="BN7" s="6" t="s">
        <v>72</v>
      </c>
      <c r="BO7" s="6" t="s">
        <v>73</v>
      </c>
      <c r="BP7" s="6" t="s">
        <v>74</v>
      </c>
      <c r="BQ7" s="6" t="s">
        <v>75</v>
      </c>
      <c r="BR7" s="6" t="s">
        <v>76</v>
      </c>
      <c r="BS7" s="6" t="s">
        <v>77</v>
      </c>
      <c r="BT7" s="6" t="s">
        <v>78</v>
      </c>
      <c r="BU7" s="6" t="s">
        <v>79</v>
      </c>
      <c r="BV7" s="6" t="s">
        <v>80</v>
      </c>
      <c r="BW7" s="6" t="s">
        <v>81</v>
      </c>
      <c r="BX7" s="6" t="s">
        <v>82</v>
      </c>
      <c r="BY7" s="6" t="s">
        <v>83</v>
      </c>
      <c r="BZ7" s="6" t="s">
        <v>84</v>
      </c>
      <c r="CA7" s="6" t="s">
        <v>85</v>
      </c>
      <c r="CB7" s="6" t="s">
        <v>86</v>
      </c>
      <c r="CC7" s="6" t="s">
        <v>87</v>
      </c>
      <c r="CD7" s="6" t="s">
        <v>88</v>
      </c>
      <c r="CE7" s="6" t="s">
        <v>89</v>
      </c>
      <c r="CF7" s="6" t="s">
        <v>90</v>
      </c>
      <c r="CG7" s="6" t="s">
        <v>91</v>
      </c>
      <c r="CH7" s="6" t="s">
        <v>92</v>
      </c>
      <c r="CI7" s="6" t="s">
        <v>93</v>
      </c>
      <c r="CJ7" s="6" t="s">
        <v>94</v>
      </c>
      <c r="CK7" s="6" t="s">
        <v>95</v>
      </c>
      <c r="CL7" s="6" t="s">
        <v>96</v>
      </c>
      <c r="CM7" s="6" t="s">
        <v>97</v>
      </c>
      <c r="CN7" s="6" t="s">
        <v>98</v>
      </c>
      <c r="CO7" s="6" t="s">
        <v>99</v>
      </c>
      <c r="CP7" s="6" t="s">
        <v>100</v>
      </c>
      <c r="CQ7" s="6" t="s">
        <v>101</v>
      </c>
      <c r="CR7" s="6" t="s">
        <v>102</v>
      </c>
      <c r="CS7" s="6" t="s">
        <v>103</v>
      </c>
      <c r="CT7" s="6" t="s">
        <v>104</v>
      </c>
    </row>
    <row r="8" spans="1:98">
      <c r="A8" s="6" t="s">
        <v>105</v>
      </c>
      <c r="B8" s="6" t="s">
        <v>106</v>
      </c>
      <c r="C8" s="13">
        <v>2.03516971038266</v>
      </c>
      <c r="D8" s="13">
        <v>2.0603243586248499</v>
      </c>
      <c r="E8" s="13">
        <v>2.0653694065802699</v>
      </c>
      <c r="F8" s="13">
        <v>2.0874807762832099</v>
      </c>
      <c r="G8" s="13">
        <v>2.1050400482010199</v>
      </c>
      <c r="H8" s="13">
        <v>2.1154192603458899</v>
      </c>
      <c r="I8" s="13">
        <v>2.1518068200870601</v>
      </c>
      <c r="J8" s="13">
        <v>2.1707783725541501</v>
      </c>
      <c r="K8" s="13">
        <v>2.18783691981761</v>
      </c>
      <c r="L8" s="13">
        <v>2.2132586941521701</v>
      </c>
      <c r="M8" s="13">
        <v>2.2359257447920902</v>
      </c>
      <c r="N8" s="13">
        <v>2.2211869184724802</v>
      </c>
      <c r="O8" s="13">
        <v>2.2326241842019399</v>
      </c>
      <c r="P8" s="13">
        <v>2.25901750728924</v>
      </c>
      <c r="Q8" s="13">
        <v>2.2765164106308</v>
      </c>
      <c r="R8" s="13">
        <v>2.30291395940545</v>
      </c>
      <c r="S8" s="13">
        <v>2.3203732479405201</v>
      </c>
      <c r="T8" s="13">
        <v>2.3642172164480799</v>
      </c>
      <c r="U8" s="13">
        <v>2.4053168355103001</v>
      </c>
      <c r="V8" s="13">
        <v>2.3519755124970101</v>
      </c>
      <c r="W8" s="13">
        <v>2.3408422306286298</v>
      </c>
      <c r="X8" s="13">
        <v>2.3474188487574099</v>
      </c>
      <c r="Y8" s="13">
        <v>2.36722788639723</v>
      </c>
      <c r="Z8" s="13">
        <v>2.38170796623861</v>
      </c>
      <c r="AA8" s="13">
        <v>2.37977560548517</v>
      </c>
      <c r="AB8" s="13">
        <v>2.3845469305921401</v>
      </c>
      <c r="AC8" s="13">
        <v>2.3990494738484398</v>
      </c>
      <c r="AD8" s="13">
        <v>2.4227910394257499</v>
      </c>
      <c r="AE8" s="13">
        <v>2.4330498565991299</v>
      </c>
      <c r="AF8" s="13">
        <v>2.4782592908991101</v>
      </c>
      <c r="AG8" s="13">
        <v>2.48958598393371</v>
      </c>
      <c r="AH8" s="13">
        <v>2.4982528033804701</v>
      </c>
      <c r="AI8" s="13">
        <v>2.5146494553159999</v>
      </c>
      <c r="AJ8" s="13">
        <v>2.52107076869803</v>
      </c>
      <c r="AK8" s="13">
        <v>2.5313114193711401</v>
      </c>
      <c r="AL8" s="13">
        <v>2.5519818070473299</v>
      </c>
      <c r="AM8" s="13">
        <v>2.5588970948066301</v>
      </c>
      <c r="AN8" s="13">
        <v>2.5563607318916199</v>
      </c>
      <c r="AO8" s="13">
        <v>2.5757018498037501</v>
      </c>
      <c r="AP8" s="13">
        <v>2.5903118852466198</v>
      </c>
      <c r="AQ8" s="13">
        <v>2.5984834377108701</v>
      </c>
      <c r="AR8" s="13">
        <v>2.6097667453760698</v>
      </c>
      <c r="AS8" s="13">
        <v>2.6162580136308198</v>
      </c>
      <c r="AT8" s="13">
        <v>2.6185435816407101</v>
      </c>
      <c r="AU8" s="13">
        <v>2.6130742036410601</v>
      </c>
      <c r="AV8" s="13">
        <v>2.6248654931503501</v>
      </c>
      <c r="AW8" s="13">
        <v>2.6210903132751202</v>
      </c>
      <c r="AX8" s="13">
        <v>2.62812001494735</v>
      </c>
      <c r="AY8" s="13">
        <v>2.6195672059792101</v>
      </c>
      <c r="AZ8" s="13">
        <v>2.6445845101286198</v>
      </c>
      <c r="BA8" s="13">
        <v>2.6645119184811499</v>
      </c>
      <c r="BB8" s="13">
        <v>2.6793127669589998</v>
      </c>
      <c r="BC8" s="13">
        <v>2.69196801581622</v>
      </c>
      <c r="BD8" s="13">
        <v>2.6963999173151398</v>
      </c>
      <c r="BE8" s="13">
        <v>2.70820199309592</v>
      </c>
      <c r="BF8" s="13">
        <v>2.7228199938442401</v>
      </c>
      <c r="BG8" s="13">
        <v>2.7581855200157999</v>
      </c>
      <c r="BH8" s="13">
        <v>2.7725868388914199</v>
      </c>
      <c r="BI8" s="13">
        <v>2.7794261240196301</v>
      </c>
      <c r="BJ8" s="13">
        <v>2.79252284616837</v>
      </c>
      <c r="BK8" s="13">
        <v>2.80204068249218</v>
      </c>
      <c r="BL8" s="13">
        <v>2.8122450644763202</v>
      </c>
      <c r="BM8" s="13">
        <v>2.8300584393122699</v>
      </c>
      <c r="BN8" s="13">
        <v>2.84208162724111</v>
      </c>
      <c r="BO8" s="13">
        <v>2.8551686160991401</v>
      </c>
      <c r="BP8" s="13">
        <v>2.8532778182259202</v>
      </c>
      <c r="BQ8" s="13">
        <v>2.8766732544002802</v>
      </c>
      <c r="BR8" s="13">
        <v>2.8982648495135899</v>
      </c>
      <c r="BS8" s="13">
        <v>2.9160216774221999</v>
      </c>
      <c r="BT8" s="13">
        <v>2.9654626403941302</v>
      </c>
      <c r="BU8" s="13">
        <v>3.0081548337632902</v>
      </c>
      <c r="BV8" s="13">
        <v>3.0630482422248799</v>
      </c>
      <c r="BW8" s="13">
        <v>3.1259030163817498</v>
      </c>
      <c r="BX8" s="13">
        <v>3.2014215237569101</v>
      </c>
      <c r="BY8" s="13">
        <v>3.2421852795932899</v>
      </c>
      <c r="BZ8" s="13">
        <v>3.28097034676113</v>
      </c>
      <c r="CA8" s="13">
        <v>3.3147673493876102</v>
      </c>
      <c r="CB8" s="13">
        <v>3.3342442670690202</v>
      </c>
      <c r="CC8" s="13">
        <v>3.3575240050477801</v>
      </c>
      <c r="CD8" s="13">
        <v>3.3819769082909898</v>
      </c>
      <c r="CE8" s="13">
        <v>3.4050737208242499</v>
      </c>
      <c r="CF8" s="13">
        <v>3.4235125377062201</v>
      </c>
      <c r="CG8" s="13">
        <v>3.4450513542515901</v>
      </c>
      <c r="CH8" s="13">
        <v>3.46875440874557</v>
      </c>
      <c r="CI8" s="13">
        <v>3.4882052868706701</v>
      </c>
      <c r="CJ8" s="13">
        <v>3.5079404569764301</v>
      </c>
      <c r="CK8" s="13">
        <v>3.52720160365971</v>
      </c>
      <c r="CL8" s="13">
        <v>3.5476099886222801</v>
      </c>
      <c r="CM8" s="13">
        <v>3.56843780489451</v>
      </c>
      <c r="CN8" s="13">
        <v>3.5885155982193702</v>
      </c>
      <c r="CO8" s="13">
        <v>3.6085155243706</v>
      </c>
      <c r="CP8" s="13">
        <v>3.6288578979966402</v>
      </c>
      <c r="CQ8" s="13">
        <v>3.6502636785569198</v>
      </c>
      <c r="CR8" s="13">
        <v>3.6714830563818301</v>
      </c>
      <c r="CS8" s="13">
        <v>3.6917467571563201</v>
      </c>
      <c r="CT8" s="13">
        <v>3.7124949401037699</v>
      </c>
    </row>
    <row r="9" spans="1:98">
      <c r="A9" s="6" t="s">
        <v>107</v>
      </c>
      <c r="B9" s="6" t="s">
        <v>108</v>
      </c>
      <c r="C9" s="13">
        <v>2.03516971038266</v>
      </c>
      <c r="D9" s="13">
        <v>2.0603243586248499</v>
      </c>
      <c r="E9" s="13">
        <v>2.0653694065802699</v>
      </c>
      <c r="F9" s="13">
        <v>2.0874807762832099</v>
      </c>
      <c r="G9" s="13">
        <v>2.1050400482010199</v>
      </c>
      <c r="H9" s="13">
        <v>2.1154192603458899</v>
      </c>
      <c r="I9" s="13">
        <v>2.1518068200870601</v>
      </c>
      <c r="J9" s="13">
        <v>2.1707783725541501</v>
      </c>
      <c r="K9" s="13">
        <v>2.18783691981761</v>
      </c>
      <c r="L9" s="13">
        <v>2.2132586941521701</v>
      </c>
      <c r="M9" s="13">
        <v>2.2359257447920902</v>
      </c>
      <c r="N9" s="13">
        <v>2.2211869184724802</v>
      </c>
      <c r="O9" s="13">
        <v>2.2326241842019399</v>
      </c>
      <c r="P9" s="13">
        <v>2.25901750728924</v>
      </c>
      <c r="Q9" s="13">
        <v>2.2765164106308</v>
      </c>
      <c r="R9" s="13">
        <v>2.30291395940545</v>
      </c>
      <c r="S9" s="13">
        <v>2.3203732479405201</v>
      </c>
      <c r="T9" s="13">
        <v>2.3642172164480799</v>
      </c>
      <c r="U9" s="13">
        <v>2.4053168355103001</v>
      </c>
      <c r="V9" s="13">
        <v>2.3519755124970101</v>
      </c>
      <c r="W9" s="13">
        <v>2.3408422306286298</v>
      </c>
      <c r="X9" s="13">
        <v>2.3474188487574099</v>
      </c>
      <c r="Y9" s="13">
        <v>2.36722788639723</v>
      </c>
      <c r="Z9" s="13">
        <v>2.38170796623861</v>
      </c>
      <c r="AA9" s="13">
        <v>2.37977560548517</v>
      </c>
      <c r="AB9" s="13">
        <v>2.3845469305921401</v>
      </c>
      <c r="AC9" s="13">
        <v>2.3990494738484398</v>
      </c>
      <c r="AD9" s="13">
        <v>2.4227910394257499</v>
      </c>
      <c r="AE9" s="13">
        <v>2.4330498565991299</v>
      </c>
      <c r="AF9" s="13">
        <v>2.4782592908991101</v>
      </c>
      <c r="AG9" s="13">
        <v>2.48958598393371</v>
      </c>
      <c r="AH9" s="13">
        <v>2.4982528033804701</v>
      </c>
      <c r="AI9" s="13">
        <v>2.5146494553159999</v>
      </c>
      <c r="AJ9" s="13">
        <v>2.52107076869803</v>
      </c>
      <c r="AK9" s="13">
        <v>2.5313114193711401</v>
      </c>
      <c r="AL9" s="13">
        <v>2.5519818070473299</v>
      </c>
      <c r="AM9" s="13">
        <v>2.5588970948066301</v>
      </c>
      <c r="AN9" s="13">
        <v>2.5563607318916199</v>
      </c>
      <c r="AO9" s="13">
        <v>2.5757018498037501</v>
      </c>
      <c r="AP9" s="13">
        <v>2.5903118852466198</v>
      </c>
      <c r="AQ9" s="13">
        <v>2.5984834377108701</v>
      </c>
      <c r="AR9" s="13">
        <v>2.6097667453760698</v>
      </c>
      <c r="AS9" s="13">
        <v>2.6162580136308198</v>
      </c>
      <c r="AT9" s="13">
        <v>2.6185435816407101</v>
      </c>
      <c r="AU9" s="13">
        <v>2.6130742036410601</v>
      </c>
      <c r="AV9" s="13">
        <v>2.6248654931503501</v>
      </c>
      <c r="AW9" s="13">
        <v>2.6210903132751202</v>
      </c>
      <c r="AX9" s="13">
        <v>2.62812001494735</v>
      </c>
      <c r="AY9" s="13">
        <v>2.6195672059792101</v>
      </c>
      <c r="AZ9" s="13">
        <v>2.6445845101286198</v>
      </c>
      <c r="BA9" s="13">
        <v>2.6645119184811499</v>
      </c>
      <c r="BB9" s="13">
        <v>2.6793127669589998</v>
      </c>
      <c r="BC9" s="13">
        <v>2.69196801581622</v>
      </c>
      <c r="BD9" s="13">
        <v>2.6963999173151398</v>
      </c>
      <c r="BE9" s="13">
        <v>2.70820199309592</v>
      </c>
      <c r="BF9" s="13">
        <v>2.7228199938442401</v>
      </c>
      <c r="BG9" s="13">
        <v>2.7581855200157999</v>
      </c>
      <c r="BH9" s="13">
        <v>2.7725868388914199</v>
      </c>
      <c r="BI9" s="13">
        <v>2.7794261240196301</v>
      </c>
      <c r="BJ9" s="13">
        <v>2.79252284616837</v>
      </c>
      <c r="BK9" s="13">
        <v>2.80204068249218</v>
      </c>
      <c r="BL9" s="13">
        <v>2.8122450644763202</v>
      </c>
      <c r="BM9" s="13">
        <v>2.8300584393122699</v>
      </c>
      <c r="BN9" s="13">
        <v>2.84208162724111</v>
      </c>
      <c r="BO9" s="13">
        <v>2.8551686160991401</v>
      </c>
      <c r="BP9" s="13">
        <v>2.8532778182259202</v>
      </c>
      <c r="BQ9" s="13">
        <v>2.8766732544002802</v>
      </c>
      <c r="BR9" s="13">
        <v>2.8982648495135899</v>
      </c>
      <c r="BS9" s="13">
        <v>2.9160216774221999</v>
      </c>
      <c r="BT9" s="13">
        <v>2.9654626403941302</v>
      </c>
      <c r="BU9" s="13">
        <v>3.0081548337632902</v>
      </c>
      <c r="BV9" s="13">
        <v>3.0630482422248799</v>
      </c>
      <c r="BW9" s="13">
        <v>3.1259030163817498</v>
      </c>
      <c r="BX9" s="13">
        <v>3.2014215237569101</v>
      </c>
      <c r="BY9" s="13">
        <v>3.2255363055134101</v>
      </c>
      <c r="BZ9" s="13">
        <v>3.2598916230874599</v>
      </c>
      <c r="CA9" s="13">
        <v>3.2891346677534301</v>
      </c>
      <c r="CB9" s="13">
        <v>3.30621025530152</v>
      </c>
      <c r="CC9" s="13">
        <v>3.3272304548242801</v>
      </c>
      <c r="CD9" s="13">
        <v>3.3506000676307002</v>
      </c>
      <c r="CE9" s="13">
        <v>3.3713855548821599</v>
      </c>
      <c r="CF9" s="13">
        <v>3.3883014039568402</v>
      </c>
      <c r="CG9" s="13">
        <v>3.4080858525713902</v>
      </c>
      <c r="CH9" s="13">
        <v>3.42941797508669</v>
      </c>
      <c r="CI9" s="13">
        <v>3.4464785567767202</v>
      </c>
      <c r="CJ9" s="13">
        <v>3.46378925221474</v>
      </c>
      <c r="CK9" s="13">
        <v>3.4809094361872699</v>
      </c>
      <c r="CL9" s="13">
        <v>3.4992140517661001</v>
      </c>
      <c r="CM9" s="13">
        <v>3.5178797103848898</v>
      </c>
      <c r="CN9" s="13">
        <v>3.53579934508278</v>
      </c>
      <c r="CO9" s="13">
        <v>3.5537903995520801</v>
      </c>
      <c r="CP9" s="13">
        <v>3.5722371267770701</v>
      </c>
      <c r="CQ9" s="13">
        <v>3.5919469703646798</v>
      </c>
      <c r="CR9" s="13">
        <v>3.6114642330203099</v>
      </c>
      <c r="CS9" s="13">
        <v>3.6300819400814999</v>
      </c>
      <c r="CT9" s="13">
        <v>3.6492439952051701</v>
      </c>
    </row>
    <row r="10" spans="1:98">
      <c r="A10" s="6" t="s">
        <v>109</v>
      </c>
      <c r="B10" s="6" t="s">
        <v>110</v>
      </c>
      <c r="C10" s="13">
        <v>2.03516971038266</v>
      </c>
      <c r="D10" s="13">
        <v>2.0603243586248499</v>
      </c>
      <c r="E10" s="13">
        <v>2.0653694065802699</v>
      </c>
      <c r="F10" s="13">
        <v>2.0874807762832099</v>
      </c>
      <c r="G10" s="13">
        <v>2.1050400482010199</v>
      </c>
      <c r="H10" s="13">
        <v>2.1154192603458899</v>
      </c>
      <c r="I10" s="13">
        <v>2.1518068200870601</v>
      </c>
      <c r="J10" s="13">
        <v>2.1707783725541501</v>
      </c>
      <c r="K10" s="13">
        <v>2.18783691981761</v>
      </c>
      <c r="L10" s="13">
        <v>2.2132586941521701</v>
      </c>
      <c r="M10" s="13">
        <v>2.2359257447920902</v>
      </c>
      <c r="N10" s="13">
        <v>2.2211869184724802</v>
      </c>
      <c r="O10" s="13">
        <v>2.2326241842019399</v>
      </c>
      <c r="P10" s="13">
        <v>2.25901750728924</v>
      </c>
      <c r="Q10" s="13">
        <v>2.2765164106308</v>
      </c>
      <c r="R10" s="13">
        <v>2.30291395940545</v>
      </c>
      <c r="S10" s="13">
        <v>2.3203732479405201</v>
      </c>
      <c r="T10" s="13">
        <v>2.3642172164480799</v>
      </c>
      <c r="U10" s="13">
        <v>2.4053168355103001</v>
      </c>
      <c r="V10" s="13">
        <v>2.3519755124970101</v>
      </c>
      <c r="W10" s="13">
        <v>2.3408422306286298</v>
      </c>
      <c r="X10" s="13">
        <v>2.3474188487574099</v>
      </c>
      <c r="Y10" s="13">
        <v>2.36722788639723</v>
      </c>
      <c r="Z10" s="13">
        <v>2.38170796623861</v>
      </c>
      <c r="AA10" s="13">
        <v>2.37977560548517</v>
      </c>
      <c r="AB10" s="13">
        <v>2.3845469305921401</v>
      </c>
      <c r="AC10" s="13">
        <v>2.3990494738484398</v>
      </c>
      <c r="AD10" s="13">
        <v>2.4227910394257499</v>
      </c>
      <c r="AE10" s="13">
        <v>2.4330498565991299</v>
      </c>
      <c r="AF10" s="13">
        <v>2.4782592908991101</v>
      </c>
      <c r="AG10" s="13">
        <v>2.48958598393371</v>
      </c>
      <c r="AH10" s="13">
        <v>2.4982528033804701</v>
      </c>
      <c r="AI10" s="13">
        <v>2.5146494553159999</v>
      </c>
      <c r="AJ10" s="13">
        <v>2.52107076869803</v>
      </c>
      <c r="AK10" s="13">
        <v>2.5313114193711401</v>
      </c>
      <c r="AL10" s="13">
        <v>2.5519818070473299</v>
      </c>
      <c r="AM10" s="13">
        <v>2.5588970948066301</v>
      </c>
      <c r="AN10" s="13">
        <v>2.5563607318916199</v>
      </c>
      <c r="AO10" s="13">
        <v>2.5757018498037501</v>
      </c>
      <c r="AP10" s="13">
        <v>2.5903118852466198</v>
      </c>
      <c r="AQ10" s="13">
        <v>2.5984834377108701</v>
      </c>
      <c r="AR10" s="13">
        <v>2.6097667453760698</v>
      </c>
      <c r="AS10" s="13">
        <v>2.6162580136308198</v>
      </c>
      <c r="AT10" s="13">
        <v>2.6185435816407101</v>
      </c>
      <c r="AU10" s="13">
        <v>2.6130742036410601</v>
      </c>
      <c r="AV10" s="13">
        <v>2.6248654931503501</v>
      </c>
      <c r="AW10" s="13">
        <v>2.6210903132751202</v>
      </c>
      <c r="AX10" s="13">
        <v>2.62812001494735</v>
      </c>
      <c r="AY10" s="13">
        <v>2.6195672059792101</v>
      </c>
      <c r="AZ10" s="13">
        <v>2.6445845101286198</v>
      </c>
      <c r="BA10" s="13">
        <v>2.6645119184811499</v>
      </c>
      <c r="BB10" s="13">
        <v>2.6793127669589998</v>
      </c>
      <c r="BC10" s="13">
        <v>2.69196801581622</v>
      </c>
      <c r="BD10" s="13">
        <v>2.6963999173151398</v>
      </c>
      <c r="BE10" s="13">
        <v>2.70820199309592</v>
      </c>
      <c r="BF10" s="13">
        <v>2.7228199938442401</v>
      </c>
      <c r="BG10" s="13">
        <v>2.7581855200157999</v>
      </c>
      <c r="BH10" s="13">
        <v>2.7725868388914199</v>
      </c>
      <c r="BI10" s="13">
        <v>2.7794261240196301</v>
      </c>
      <c r="BJ10" s="13">
        <v>2.79252284616837</v>
      </c>
      <c r="BK10" s="13">
        <v>2.80204068249218</v>
      </c>
      <c r="BL10" s="13">
        <v>2.8122450644763202</v>
      </c>
      <c r="BM10" s="13">
        <v>2.8300584393122699</v>
      </c>
      <c r="BN10" s="13">
        <v>2.84208162724111</v>
      </c>
      <c r="BO10" s="13">
        <v>2.8551686160991401</v>
      </c>
      <c r="BP10" s="13">
        <v>2.8532778182259202</v>
      </c>
      <c r="BQ10" s="13">
        <v>2.8766732544002802</v>
      </c>
      <c r="BR10" s="13">
        <v>2.8982648495135899</v>
      </c>
      <c r="BS10" s="13">
        <v>2.9160216774221999</v>
      </c>
      <c r="BT10" s="13">
        <v>2.9654626403941302</v>
      </c>
      <c r="BU10" s="13">
        <v>3.0081548337632902</v>
      </c>
      <c r="BV10" s="13">
        <v>3.0630482422248799</v>
      </c>
      <c r="BW10" s="13">
        <v>3.1259030163817498</v>
      </c>
      <c r="BX10" s="13">
        <v>3.2014215237569101</v>
      </c>
      <c r="BY10" s="13">
        <v>3.2538360600876799</v>
      </c>
      <c r="BZ10" s="13">
        <v>3.3031965097870799</v>
      </c>
      <c r="CA10" s="13">
        <v>3.3480395194667398</v>
      </c>
      <c r="CB10" s="13">
        <v>3.3772072582577199</v>
      </c>
      <c r="CC10" s="13">
        <v>3.4094675504554299</v>
      </c>
      <c r="CD10" s="13">
        <v>3.4424749536492398</v>
      </c>
      <c r="CE10" s="13">
        <v>3.4743211894451802</v>
      </c>
      <c r="CF10" s="13">
        <v>3.5006039732964802</v>
      </c>
      <c r="CG10" s="13">
        <v>3.5303989876569202</v>
      </c>
      <c r="CH10" s="13">
        <v>3.5628674447020598</v>
      </c>
      <c r="CI10" s="13">
        <v>3.5914669049492498</v>
      </c>
      <c r="CJ10" s="13">
        <v>3.6209181772272898</v>
      </c>
      <c r="CK10" s="13">
        <v>3.6499561132707901</v>
      </c>
      <c r="CL10" s="13">
        <v>3.6803370088943401</v>
      </c>
      <c r="CM10" s="13">
        <v>3.7115944324369101</v>
      </c>
      <c r="CN10" s="13">
        <v>3.7424449232069499</v>
      </c>
      <c r="CO10" s="13">
        <v>3.7735168503534799</v>
      </c>
      <c r="CP10" s="13">
        <v>3.8051953825342602</v>
      </c>
      <c r="CQ10" s="13">
        <v>3.8381085422962502</v>
      </c>
      <c r="CR10" s="13">
        <v>3.8709313876845499</v>
      </c>
      <c r="CS10" s="13">
        <v>3.9029692393289599</v>
      </c>
      <c r="CT10" s="13">
        <v>3.9358493172804301</v>
      </c>
    </row>
    <row r="12" spans="1:98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98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98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BX14" s="15" t="s">
        <v>111</v>
      </c>
      <c r="BY14" s="16"/>
      <c r="BZ14" s="16"/>
      <c r="CA14" s="17" t="s">
        <v>112</v>
      </c>
      <c r="CB14" s="18"/>
      <c r="CC14" s="18"/>
      <c r="CD14" s="18"/>
      <c r="CE14" s="18"/>
      <c r="CF14" s="18"/>
      <c r="CG14" s="16"/>
      <c r="CH14" s="16"/>
      <c r="CI14" s="16"/>
    </row>
    <row r="15" spans="1:98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BX15" s="19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1"/>
    </row>
    <row r="16" spans="1:98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BX16" s="22"/>
      <c r="BY16" s="23" t="s">
        <v>113</v>
      </c>
      <c r="BZ16" s="24" t="s">
        <v>114</v>
      </c>
      <c r="CA16" s="16"/>
      <c r="CB16" s="16"/>
      <c r="CC16" s="16"/>
      <c r="CD16" s="16"/>
      <c r="CE16" s="16"/>
      <c r="CF16" s="16"/>
      <c r="CG16" s="16"/>
      <c r="CH16" s="16"/>
      <c r="CI16" s="25"/>
    </row>
    <row r="17" spans="3:87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BX17" s="22"/>
      <c r="BY17" s="16"/>
      <c r="BZ17" s="27" t="str">
        <f>CB7</f>
        <v>2023Q2</v>
      </c>
      <c r="CA17" s="16"/>
      <c r="CB17" s="16"/>
      <c r="CC17" s="16"/>
      <c r="CD17" s="16"/>
      <c r="CE17" s="16"/>
      <c r="CF17" s="16"/>
      <c r="CG17" s="16"/>
      <c r="CH17" s="16"/>
      <c r="CI17" s="28" t="s">
        <v>115</v>
      </c>
    </row>
    <row r="18" spans="3:87">
      <c r="BX18" s="22"/>
      <c r="BY18" s="16"/>
      <c r="BZ18" s="29">
        <f>CB9</f>
        <v>3.30621025530152</v>
      </c>
      <c r="CA18" s="16"/>
      <c r="CB18" s="16"/>
      <c r="CC18" s="16"/>
      <c r="CD18" s="16"/>
      <c r="CE18" s="16"/>
      <c r="CF18" s="16"/>
      <c r="CG18" s="16"/>
      <c r="CH18" s="16"/>
      <c r="CI18" s="30">
        <f>BZ18</f>
        <v>3.30621025530152</v>
      </c>
    </row>
    <row r="19" spans="3:87">
      <c r="BX19" s="22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31"/>
    </row>
    <row r="20" spans="3:87">
      <c r="BX20" s="486" t="s">
        <v>116</v>
      </c>
      <c r="BY20" s="487"/>
      <c r="BZ20" s="487"/>
      <c r="CA20" s="16" t="s">
        <v>117</v>
      </c>
      <c r="CB20" s="16"/>
      <c r="CC20" s="16"/>
      <c r="CD20" s="16"/>
      <c r="CE20" s="16"/>
      <c r="CF20" s="16"/>
      <c r="CG20" s="16"/>
      <c r="CH20" s="16"/>
      <c r="CI20" s="31"/>
    </row>
    <row r="21" spans="3:87">
      <c r="BX21" s="32"/>
      <c r="BY21" s="23"/>
      <c r="BZ21" s="6" t="str">
        <f>CC7</f>
        <v>2023Q3</v>
      </c>
      <c r="CA21" s="6" t="str">
        <f t="shared" ref="CA21:CG21" si="0">CD7</f>
        <v>2023Q4</v>
      </c>
      <c r="CB21" s="6" t="str">
        <f t="shared" si="0"/>
        <v>2024Q1</v>
      </c>
      <c r="CC21" s="6" t="str">
        <f t="shared" si="0"/>
        <v>2024Q2</v>
      </c>
      <c r="CD21" s="6" t="str">
        <f t="shared" si="0"/>
        <v>2024Q3</v>
      </c>
      <c r="CE21" s="6" t="str">
        <f t="shared" si="0"/>
        <v>2024Q4</v>
      </c>
      <c r="CF21" s="6" t="str">
        <f t="shared" si="0"/>
        <v>2025Q1</v>
      </c>
      <c r="CG21" s="6" t="str">
        <f t="shared" si="0"/>
        <v>2025Q2</v>
      </c>
      <c r="CH21" s="16"/>
      <c r="CI21" s="31"/>
    </row>
    <row r="22" spans="3:87">
      <c r="BX22" s="22"/>
      <c r="BY22" s="16"/>
      <c r="BZ22" s="13">
        <f>CC9</f>
        <v>3.3272304548242801</v>
      </c>
      <c r="CA22" s="13">
        <f t="shared" ref="CA22:CG22" si="1">CD9</f>
        <v>3.3506000676307002</v>
      </c>
      <c r="CB22" s="13">
        <f t="shared" si="1"/>
        <v>3.3713855548821599</v>
      </c>
      <c r="CC22" s="13">
        <f t="shared" si="1"/>
        <v>3.3883014039568402</v>
      </c>
      <c r="CD22" s="13">
        <f t="shared" si="1"/>
        <v>3.4080858525713902</v>
      </c>
      <c r="CE22" s="13">
        <f t="shared" si="1"/>
        <v>3.42941797508669</v>
      </c>
      <c r="CF22" s="13">
        <f t="shared" si="1"/>
        <v>3.4464785567767202</v>
      </c>
      <c r="CG22" s="13">
        <f t="shared" si="1"/>
        <v>3.46378925221474</v>
      </c>
      <c r="CH22" s="16"/>
      <c r="CI22" s="30">
        <f>AVERAGE(BZ22:CG22)</f>
        <v>3.3981611397429399</v>
      </c>
    </row>
    <row r="23" spans="3:87">
      <c r="BX23" s="22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31"/>
    </row>
    <row r="24" spans="3:87">
      <c r="BX24" s="22"/>
      <c r="BY24" s="16"/>
      <c r="BZ24" s="16"/>
      <c r="CA24" s="16"/>
      <c r="CB24" s="16"/>
      <c r="CC24" s="16"/>
      <c r="CD24" s="16"/>
      <c r="CE24" s="16"/>
      <c r="CF24" s="16"/>
      <c r="CG24" s="16"/>
      <c r="CH24" s="33" t="s">
        <v>118</v>
      </c>
      <c r="CI24" s="34">
        <f>(CI22-CI18)/CI18</f>
        <v>2.7811565914169036E-2</v>
      </c>
    </row>
    <row r="25" spans="3:87">
      <c r="BX25" s="35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7"/>
    </row>
    <row r="28" spans="3:87">
      <c r="CD28" s="1" t="s">
        <v>119</v>
      </c>
    </row>
  </sheetData>
  <mergeCells count="2">
    <mergeCell ref="A1:B1"/>
    <mergeCell ref="BX20:BZ20"/>
  </mergeCells>
  <pageMargins left="0.25" right="0.2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51A28-1828-488E-9186-0A3E8583D963}">
  <sheetPr>
    <pageSetUpPr fitToPage="1"/>
  </sheetPr>
  <dimension ref="B1:F56"/>
  <sheetViews>
    <sheetView showGridLines="0" zoomScale="60" zoomScaleNormal="60" workbookViewId="0">
      <selection activeCell="CL33" sqref="CL33"/>
    </sheetView>
  </sheetViews>
  <sheetFormatPr defaultRowHeight="26.25"/>
  <cols>
    <col min="1" max="1" width="5.5703125" style="38" customWidth="1"/>
    <col min="2" max="2" width="58" style="38" customWidth="1"/>
    <col min="3" max="3" width="24.140625" style="38" customWidth="1"/>
    <col min="4" max="4" width="69.140625" style="38" customWidth="1"/>
    <col min="5" max="5" width="69.140625" style="40" customWidth="1"/>
    <col min="6" max="6" width="44" style="40" customWidth="1"/>
    <col min="7" max="243" width="8.7109375" style="38"/>
    <col min="244" max="244" width="5.5703125" style="38" customWidth="1"/>
    <col min="245" max="245" width="58" style="38" customWidth="1"/>
    <col min="246" max="246" width="24.140625" style="38" customWidth="1"/>
    <col min="247" max="248" width="0" style="38" hidden="1" customWidth="1"/>
    <col min="249" max="249" width="61.42578125" style="38" customWidth="1"/>
    <col min="250" max="250" width="62.140625" style="38" customWidth="1"/>
    <col min="251" max="254" width="0" style="38" hidden="1" customWidth="1"/>
    <col min="255" max="499" width="8.7109375" style="38"/>
    <col min="500" max="500" width="5.5703125" style="38" customWidth="1"/>
    <col min="501" max="501" width="58" style="38" customWidth="1"/>
    <col min="502" max="502" width="24.140625" style="38" customWidth="1"/>
    <col min="503" max="504" width="0" style="38" hidden="1" customWidth="1"/>
    <col min="505" max="505" width="61.42578125" style="38" customWidth="1"/>
    <col min="506" max="506" width="62.140625" style="38" customWidth="1"/>
    <col min="507" max="510" width="0" style="38" hidden="1" customWidth="1"/>
    <col min="511" max="755" width="8.7109375" style="38"/>
    <col min="756" max="756" width="5.5703125" style="38" customWidth="1"/>
    <col min="757" max="757" width="58" style="38" customWidth="1"/>
    <col min="758" max="758" width="24.140625" style="38" customWidth="1"/>
    <col min="759" max="760" width="0" style="38" hidden="1" customWidth="1"/>
    <col min="761" max="761" width="61.42578125" style="38" customWidth="1"/>
    <col min="762" max="762" width="62.140625" style="38" customWidth="1"/>
    <col min="763" max="766" width="0" style="38" hidden="1" customWidth="1"/>
    <col min="767" max="1011" width="8.7109375" style="38"/>
    <col min="1012" max="1012" width="5.5703125" style="38" customWidth="1"/>
    <col min="1013" max="1013" width="58" style="38" customWidth="1"/>
    <col min="1014" max="1014" width="24.140625" style="38" customWidth="1"/>
    <col min="1015" max="1016" width="0" style="38" hidden="1" customWidth="1"/>
    <col min="1017" max="1017" width="61.42578125" style="38" customWidth="1"/>
    <col min="1018" max="1018" width="62.140625" style="38" customWidth="1"/>
    <col min="1019" max="1022" width="0" style="38" hidden="1" customWidth="1"/>
    <col min="1023" max="1267" width="8.7109375" style="38"/>
    <col min="1268" max="1268" width="5.5703125" style="38" customWidth="1"/>
    <col min="1269" max="1269" width="58" style="38" customWidth="1"/>
    <col min="1270" max="1270" width="24.140625" style="38" customWidth="1"/>
    <col min="1271" max="1272" width="0" style="38" hidden="1" customWidth="1"/>
    <col min="1273" max="1273" width="61.42578125" style="38" customWidth="1"/>
    <col min="1274" max="1274" width="62.140625" style="38" customWidth="1"/>
    <col min="1275" max="1278" width="0" style="38" hidden="1" customWidth="1"/>
    <col min="1279" max="1523" width="8.7109375" style="38"/>
    <col min="1524" max="1524" width="5.5703125" style="38" customWidth="1"/>
    <col min="1525" max="1525" width="58" style="38" customWidth="1"/>
    <col min="1526" max="1526" width="24.140625" style="38" customWidth="1"/>
    <col min="1527" max="1528" width="0" style="38" hidden="1" customWidth="1"/>
    <col min="1529" max="1529" width="61.42578125" style="38" customWidth="1"/>
    <col min="1530" max="1530" width="62.140625" style="38" customWidth="1"/>
    <col min="1531" max="1534" width="0" style="38" hidden="1" customWidth="1"/>
    <col min="1535" max="1779" width="8.7109375" style="38"/>
    <col min="1780" max="1780" width="5.5703125" style="38" customWidth="1"/>
    <col min="1781" max="1781" width="58" style="38" customWidth="1"/>
    <col min="1782" max="1782" width="24.140625" style="38" customWidth="1"/>
    <col min="1783" max="1784" width="0" style="38" hidden="1" customWidth="1"/>
    <col min="1785" max="1785" width="61.42578125" style="38" customWidth="1"/>
    <col min="1786" max="1786" width="62.140625" style="38" customWidth="1"/>
    <col min="1787" max="1790" width="0" style="38" hidden="1" customWidth="1"/>
    <col min="1791" max="2035" width="8.7109375" style="38"/>
    <col min="2036" max="2036" width="5.5703125" style="38" customWidth="1"/>
    <col min="2037" max="2037" width="58" style="38" customWidth="1"/>
    <col min="2038" max="2038" width="24.140625" style="38" customWidth="1"/>
    <col min="2039" max="2040" width="0" style="38" hidden="1" customWidth="1"/>
    <col min="2041" max="2041" width="61.42578125" style="38" customWidth="1"/>
    <col min="2042" max="2042" width="62.140625" style="38" customWidth="1"/>
    <col min="2043" max="2046" width="0" style="38" hidden="1" customWidth="1"/>
    <col min="2047" max="2291" width="8.7109375" style="38"/>
    <col min="2292" max="2292" width="5.5703125" style="38" customWidth="1"/>
    <col min="2293" max="2293" width="58" style="38" customWidth="1"/>
    <col min="2294" max="2294" width="24.140625" style="38" customWidth="1"/>
    <col min="2295" max="2296" width="0" style="38" hidden="1" customWidth="1"/>
    <col min="2297" max="2297" width="61.42578125" style="38" customWidth="1"/>
    <col min="2298" max="2298" width="62.140625" style="38" customWidth="1"/>
    <col min="2299" max="2302" width="0" style="38" hidden="1" customWidth="1"/>
    <col min="2303" max="2547" width="8.7109375" style="38"/>
    <col min="2548" max="2548" width="5.5703125" style="38" customWidth="1"/>
    <col min="2549" max="2549" width="58" style="38" customWidth="1"/>
    <col min="2550" max="2550" width="24.140625" style="38" customWidth="1"/>
    <col min="2551" max="2552" width="0" style="38" hidden="1" customWidth="1"/>
    <col min="2553" max="2553" width="61.42578125" style="38" customWidth="1"/>
    <col min="2554" max="2554" width="62.140625" style="38" customWidth="1"/>
    <col min="2555" max="2558" width="0" style="38" hidden="1" customWidth="1"/>
    <col min="2559" max="2803" width="8.7109375" style="38"/>
    <col min="2804" max="2804" width="5.5703125" style="38" customWidth="1"/>
    <col min="2805" max="2805" width="58" style="38" customWidth="1"/>
    <col min="2806" max="2806" width="24.140625" style="38" customWidth="1"/>
    <col min="2807" max="2808" width="0" style="38" hidden="1" customWidth="1"/>
    <col min="2809" max="2809" width="61.42578125" style="38" customWidth="1"/>
    <col min="2810" max="2810" width="62.140625" style="38" customWidth="1"/>
    <col min="2811" max="2814" width="0" style="38" hidden="1" customWidth="1"/>
    <col min="2815" max="3059" width="8.7109375" style="38"/>
    <col min="3060" max="3060" width="5.5703125" style="38" customWidth="1"/>
    <col min="3061" max="3061" width="58" style="38" customWidth="1"/>
    <col min="3062" max="3062" width="24.140625" style="38" customWidth="1"/>
    <col min="3063" max="3064" width="0" style="38" hidden="1" customWidth="1"/>
    <col min="3065" max="3065" width="61.42578125" style="38" customWidth="1"/>
    <col min="3066" max="3066" width="62.140625" style="38" customWidth="1"/>
    <col min="3067" max="3070" width="0" style="38" hidden="1" customWidth="1"/>
    <col min="3071" max="3315" width="8.7109375" style="38"/>
    <col min="3316" max="3316" width="5.5703125" style="38" customWidth="1"/>
    <col min="3317" max="3317" width="58" style="38" customWidth="1"/>
    <col min="3318" max="3318" width="24.140625" style="38" customWidth="1"/>
    <col min="3319" max="3320" width="0" style="38" hidden="1" customWidth="1"/>
    <col min="3321" max="3321" width="61.42578125" style="38" customWidth="1"/>
    <col min="3322" max="3322" width="62.140625" style="38" customWidth="1"/>
    <col min="3323" max="3326" width="0" style="38" hidden="1" customWidth="1"/>
    <col min="3327" max="3571" width="8.7109375" style="38"/>
    <col min="3572" max="3572" width="5.5703125" style="38" customWidth="1"/>
    <col min="3573" max="3573" width="58" style="38" customWidth="1"/>
    <col min="3574" max="3574" width="24.140625" style="38" customWidth="1"/>
    <col min="3575" max="3576" width="0" style="38" hidden="1" customWidth="1"/>
    <col min="3577" max="3577" width="61.42578125" style="38" customWidth="1"/>
    <col min="3578" max="3578" width="62.140625" style="38" customWidth="1"/>
    <col min="3579" max="3582" width="0" style="38" hidden="1" customWidth="1"/>
    <col min="3583" max="3827" width="8.7109375" style="38"/>
    <col min="3828" max="3828" width="5.5703125" style="38" customWidth="1"/>
    <col min="3829" max="3829" width="58" style="38" customWidth="1"/>
    <col min="3830" max="3830" width="24.140625" style="38" customWidth="1"/>
    <col min="3831" max="3832" width="0" style="38" hidden="1" customWidth="1"/>
    <col min="3833" max="3833" width="61.42578125" style="38" customWidth="1"/>
    <col min="3834" max="3834" width="62.140625" style="38" customWidth="1"/>
    <col min="3835" max="3838" width="0" style="38" hidden="1" customWidth="1"/>
    <col min="3839" max="4083" width="8.7109375" style="38"/>
    <col min="4084" max="4084" width="5.5703125" style="38" customWidth="1"/>
    <col min="4085" max="4085" width="58" style="38" customWidth="1"/>
    <col min="4086" max="4086" width="24.140625" style="38" customWidth="1"/>
    <col min="4087" max="4088" width="0" style="38" hidden="1" customWidth="1"/>
    <col min="4089" max="4089" width="61.42578125" style="38" customWidth="1"/>
    <col min="4090" max="4090" width="62.140625" style="38" customWidth="1"/>
    <col min="4091" max="4094" width="0" style="38" hidden="1" customWidth="1"/>
    <col min="4095" max="4339" width="8.7109375" style="38"/>
    <col min="4340" max="4340" width="5.5703125" style="38" customWidth="1"/>
    <col min="4341" max="4341" width="58" style="38" customWidth="1"/>
    <col min="4342" max="4342" width="24.140625" style="38" customWidth="1"/>
    <col min="4343" max="4344" width="0" style="38" hidden="1" customWidth="1"/>
    <col min="4345" max="4345" width="61.42578125" style="38" customWidth="1"/>
    <col min="4346" max="4346" width="62.140625" style="38" customWidth="1"/>
    <col min="4347" max="4350" width="0" style="38" hidden="1" customWidth="1"/>
    <col min="4351" max="4595" width="8.7109375" style="38"/>
    <col min="4596" max="4596" width="5.5703125" style="38" customWidth="1"/>
    <col min="4597" max="4597" width="58" style="38" customWidth="1"/>
    <col min="4598" max="4598" width="24.140625" style="38" customWidth="1"/>
    <col min="4599" max="4600" width="0" style="38" hidden="1" customWidth="1"/>
    <col min="4601" max="4601" width="61.42578125" style="38" customWidth="1"/>
    <col min="4602" max="4602" width="62.140625" style="38" customWidth="1"/>
    <col min="4603" max="4606" width="0" style="38" hidden="1" customWidth="1"/>
    <col min="4607" max="4851" width="8.7109375" style="38"/>
    <col min="4852" max="4852" width="5.5703125" style="38" customWidth="1"/>
    <col min="4853" max="4853" width="58" style="38" customWidth="1"/>
    <col min="4854" max="4854" width="24.140625" style="38" customWidth="1"/>
    <col min="4855" max="4856" width="0" style="38" hidden="1" customWidth="1"/>
    <col min="4857" max="4857" width="61.42578125" style="38" customWidth="1"/>
    <col min="4858" max="4858" width="62.140625" style="38" customWidth="1"/>
    <col min="4859" max="4862" width="0" style="38" hidden="1" customWidth="1"/>
    <col min="4863" max="5107" width="8.7109375" style="38"/>
    <col min="5108" max="5108" width="5.5703125" style="38" customWidth="1"/>
    <col min="5109" max="5109" width="58" style="38" customWidth="1"/>
    <col min="5110" max="5110" width="24.140625" style="38" customWidth="1"/>
    <col min="5111" max="5112" width="0" style="38" hidden="1" customWidth="1"/>
    <col min="5113" max="5113" width="61.42578125" style="38" customWidth="1"/>
    <col min="5114" max="5114" width="62.140625" style="38" customWidth="1"/>
    <col min="5115" max="5118" width="0" style="38" hidden="1" customWidth="1"/>
    <col min="5119" max="5363" width="8.7109375" style="38"/>
    <col min="5364" max="5364" width="5.5703125" style="38" customWidth="1"/>
    <col min="5365" max="5365" width="58" style="38" customWidth="1"/>
    <col min="5366" max="5366" width="24.140625" style="38" customWidth="1"/>
    <col min="5367" max="5368" width="0" style="38" hidden="1" customWidth="1"/>
    <col min="5369" max="5369" width="61.42578125" style="38" customWidth="1"/>
    <col min="5370" max="5370" width="62.140625" style="38" customWidth="1"/>
    <col min="5371" max="5374" width="0" style="38" hidden="1" customWidth="1"/>
    <col min="5375" max="5619" width="8.7109375" style="38"/>
    <col min="5620" max="5620" width="5.5703125" style="38" customWidth="1"/>
    <col min="5621" max="5621" width="58" style="38" customWidth="1"/>
    <col min="5622" max="5622" width="24.140625" style="38" customWidth="1"/>
    <col min="5623" max="5624" width="0" style="38" hidden="1" customWidth="1"/>
    <col min="5625" max="5625" width="61.42578125" style="38" customWidth="1"/>
    <col min="5626" max="5626" width="62.140625" style="38" customWidth="1"/>
    <col min="5627" max="5630" width="0" style="38" hidden="1" customWidth="1"/>
    <col min="5631" max="5875" width="8.7109375" style="38"/>
    <col min="5876" max="5876" width="5.5703125" style="38" customWidth="1"/>
    <col min="5877" max="5877" width="58" style="38" customWidth="1"/>
    <col min="5878" max="5878" width="24.140625" style="38" customWidth="1"/>
    <col min="5879" max="5880" width="0" style="38" hidden="1" customWidth="1"/>
    <col min="5881" max="5881" width="61.42578125" style="38" customWidth="1"/>
    <col min="5882" max="5882" width="62.140625" style="38" customWidth="1"/>
    <col min="5883" max="5886" width="0" style="38" hidden="1" customWidth="1"/>
    <col min="5887" max="6131" width="8.7109375" style="38"/>
    <col min="6132" max="6132" width="5.5703125" style="38" customWidth="1"/>
    <col min="6133" max="6133" width="58" style="38" customWidth="1"/>
    <col min="6134" max="6134" width="24.140625" style="38" customWidth="1"/>
    <col min="6135" max="6136" width="0" style="38" hidden="1" customWidth="1"/>
    <col min="6137" max="6137" width="61.42578125" style="38" customWidth="1"/>
    <col min="6138" max="6138" width="62.140625" style="38" customWidth="1"/>
    <col min="6139" max="6142" width="0" style="38" hidden="1" customWidth="1"/>
    <col min="6143" max="6387" width="8.7109375" style="38"/>
    <col min="6388" max="6388" width="5.5703125" style="38" customWidth="1"/>
    <col min="6389" max="6389" width="58" style="38" customWidth="1"/>
    <col min="6390" max="6390" width="24.140625" style="38" customWidth="1"/>
    <col min="6391" max="6392" width="0" style="38" hidden="1" customWidth="1"/>
    <col min="6393" max="6393" width="61.42578125" style="38" customWidth="1"/>
    <col min="6394" max="6394" width="62.140625" style="38" customWidth="1"/>
    <col min="6395" max="6398" width="0" style="38" hidden="1" customWidth="1"/>
    <col min="6399" max="6643" width="8.7109375" style="38"/>
    <col min="6644" max="6644" width="5.5703125" style="38" customWidth="1"/>
    <col min="6645" max="6645" width="58" style="38" customWidth="1"/>
    <col min="6646" max="6646" width="24.140625" style="38" customWidth="1"/>
    <col min="6647" max="6648" width="0" style="38" hidden="1" customWidth="1"/>
    <col min="6649" max="6649" width="61.42578125" style="38" customWidth="1"/>
    <col min="6650" max="6650" width="62.140625" style="38" customWidth="1"/>
    <col min="6651" max="6654" width="0" style="38" hidden="1" customWidth="1"/>
    <col min="6655" max="6899" width="8.7109375" style="38"/>
    <col min="6900" max="6900" width="5.5703125" style="38" customWidth="1"/>
    <col min="6901" max="6901" width="58" style="38" customWidth="1"/>
    <col min="6902" max="6902" width="24.140625" style="38" customWidth="1"/>
    <col min="6903" max="6904" width="0" style="38" hidden="1" customWidth="1"/>
    <col min="6905" max="6905" width="61.42578125" style="38" customWidth="1"/>
    <col min="6906" max="6906" width="62.140625" style="38" customWidth="1"/>
    <col min="6907" max="6910" width="0" style="38" hidden="1" customWidth="1"/>
    <col min="6911" max="7155" width="8.7109375" style="38"/>
    <col min="7156" max="7156" width="5.5703125" style="38" customWidth="1"/>
    <col min="7157" max="7157" width="58" style="38" customWidth="1"/>
    <col min="7158" max="7158" width="24.140625" style="38" customWidth="1"/>
    <col min="7159" max="7160" width="0" style="38" hidden="1" customWidth="1"/>
    <col min="7161" max="7161" width="61.42578125" style="38" customWidth="1"/>
    <col min="7162" max="7162" width="62.140625" style="38" customWidth="1"/>
    <col min="7163" max="7166" width="0" style="38" hidden="1" customWidth="1"/>
    <col min="7167" max="7411" width="8.7109375" style="38"/>
    <col min="7412" max="7412" width="5.5703125" style="38" customWidth="1"/>
    <col min="7413" max="7413" width="58" style="38" customWidth="1"/>
    <col min="7414" max="7414" width="24.140625" style="38" customWidth="1"/>
    <col min="7415" max="7416" width="0" style="38" hidden="1" customWidth="1"/>
    <col min="7417" max="7417" width="61.42578125" style="38" customWidth="1"/>
    <col min="7418" max="7418" width="62.140625" style="38" customWidth="1"/>
    <col min="7419" max="7422" width="0" style="38" hidden="1" customWidth="1"/>
    <col min="7423" max="7667" width="8.7109375" style="38"/>
    <col min="7668" max="7668" width="5.5703125" style="38" customWidth="1"/>
    <col min="7669" max="7669" width="58" style="38" customWidth="1"/>
    <col min="7670" max="7670" width="24.140625" style="38" customWidth="1"/>
    <col min="7671" max="7672" width="0" style="38" hidden="1" customWidth="1"/>
    <col min="7673" max="7673" width="61.42578125" style="38" customWidth="1"/>
    <col min="7674" max="7674" width="62.140625" style="38" customWidth="1"/>
    <col min="7675" max="7678" width="0" style="38" hidden="1" customWidth="1"/>
    <col min="7679" max="7923" width="8.7109375" style="38"/>
    <col min="7924" max="7924" width="5.5703125" style="38" customWidth="1"/>
    <col min="7925" max="7925" width="58" style="38" customWidth="1"/>
    <col min="7926" max="7926" width="24.140625" style="38" customWidth="1"/>
    <col min="7927" max="7928" width="0" style="38" hidden="1" customWidth="1"/>
    <col min="7929" max="7929" width="61.42578125" style="38" customWidth="1"/>
    <col min="7930" max="7930" width="62.140625" style="38" customWidth="1"/>
    <col min="7931" max="7934" width="0" style="38" hidden="1" customWidth="1"/>
    <col min="7935" max="8179" width="8.7109375" style="38"/>
    <col min="8180" max="8180" width="5.5703125" style="38" customWidth="1"/>
    <col min="8181" max="8181" width="58" style="38" customWidth="1"/>
    <col min="8182" max="8182" width="24.140625" style="38" customWidth="1"/>
    <col min="8183" max="8184" width="0" style="38" hidden="1" customWidth="1"/>
    <col min="8185" max="8185" width="61.42578125" style="38" customWidth="1"/>
    <col min="8186" max="8186" width="62.140625" style="38" customWidth="1"/>
    <col min="8187" max="8190" width="0" style="38" hidden="1" customWidth="1"/>
    <col min="8191" max="8435" width="8.7109375" style="38"/>
    <col min="8436" max="8436" width="5.5703125" style="38" customWidth="1"/>
    <col min="8437" max="8437" width="58" style="38" customWidth="1"/>
    <col min="8438" max="8438" width="24.140625" style="38" customWidth="1"/>
    <col min="8439" max="8440" width="0" style="38" hidden="1" customWidth="1"/>
    <col min="8441" max="8441" width="61.42578125" style="38" customWidth="1"/>
    <col min="8442" max="8442" width="62.140625" style="38" customWidth="1"/>
    <col min="8443" max="8446" width="0" style="38" hidden="1" customWidth="1"/>
    <col min="8447" max="8691" width="8.7109375" style="38"/>
    <col min="8692" max="8692" width="5.5703125" style="38" customWidth="1"/>
    <col min="8693" max="8693" width="58" style="38" customWidth="1"/>
    <col min="8694" max="8694" width="24.140625" style="38" customWidth="1"/>
    <col min="8695" max="8696" width="0" style="38" hidden="1" customWidth="1"/>
    <col min="8697" max="8697" width="61.42578125" style="38" customWidth="1"/>
    <col min="8698" max="8698" width="62.140625" style="38" customWidth="1"/>
    <col min="8699" max="8702" width="0" style="38" hidden="1" customWidth="1"/>
    <col min="8703" max="8947" width="8.7109375" style="38"/>
    <col min="8948" max="8948" width="5.5703125" style="38" customWidth="1"/>
    <col min="8949" max="8949" width="58" style="38" customWidth="1"/>
    <col min="8950" max="8950" width="24.140625" style="38" customWidth="1"/>
    <col min="8951" max="8952" width="0" style="38" hidden="1" customWidth="1"/>
    <col min="8953" max="8953" width="61.42578125" style="38" customWidth="1"/>
    <col min="8954" max="8954" width="62.140625" style="38" customWidth="1"/>
    <col min="8955" max="8958" width="0" style="38" hidden="1" customWidth="1"/>
    <col min="8959" max="9203" width="8.7109375" style="38"/>
    <col min="9204" max="9204" width="5.5703125" style="38" customWidth="1"/>
    <col min="9205" max="9205" width="58" style="38" customWidth="1"/>
    <col min="9206" max="9206" width="24.140625" style="38" customWidth="1"/>
    <col min="9207" max="9208" width="0" style="38" hidden="1" customWidth="1"/>
    <col min="9209" max="9209" width="61.42578125" style="38" customWidth="1"/>
    <col min="9210" max="9210" width="62.140625" style="38" customWidth="1"/>
    <col min="9211" max="9214" width="0" style="38" hidden="1" customWidth="1"/>
    <col min="9215" max="9459" width="8.7109375" style="38"/>
    <col min="9460" max="9460" width="5.5703125" style="38" customWidth="1"/>
    <col min="9461" max="9461" width="58" style="38" customWidth="1"/>
    <col min="9462" max="9462" width="24.140625" style="38" customWidth="1"/>
    <col min="9463" max="9464" width="0" style="38" hidden="1" customWidth="1"/>
    <col min="9465" max="9465" width="61.42578125" style="38" customWidth="1"/>
    <col min="9466" max="9466" width="62.140625" style="38" customWidth="1"/>
    <col min="9467" max="9470" width="0" style="38" hidden="1" customWidth="1"/>
    <col min="9471" max="9715" width="8.7109375" style="38"/>
    <col min="9716" max="9716" width="5.5703125" style="38" customWidth="1"/>
    <col min="9717" max="9717" width="58" style="38" customWidth="1"/>
    <col min="9718" max="9718" width="24.140625" style="38" customWidth="1"/>
    <col min="9719" max="9720" width="0" style="38" hidden="1" customWidth="1"/>
    <col min="9721" max="9721" width="61.42578125" style="38" customWidth="1"/>
    <col min="9722" max="9722" width="62.140625" style="38" customWidth="1"/>
    <col min="9723" max="9726" width="0" style="38" hidden="1" customWidth="1"/>
    <col min="9727" max="9971" width="8.7109375" style="38"/>
    <col min="9972" max="9972" width="5.5703125" style="38" customWidth="1"/>
    <col min="9973" max="9973" width="58" style="38" customWidth="1"/>
    <col min="9974" max="9974" width="24.140625" style="38" customWidth="1"/>
    <col min="9975" max="9976" width="0" style="38" hidden="1" customWidth="1"/>
    <col min="9977" max="9977" width="61.42578125" style="38" customWidth="1"/>
    <col min="9978" max="9978" width="62.140625" style="38" customWidth="1"/>
    <col min="9979" max="9982" width="0" style="38" hidden="1" customWidth="1"/>
    <col min="9983" max="10227" width="8.7109375" style="38"/>
    <col min="10228" max="10228" width="5.5703125" style="38" customWidth="1"/>
    <col min="10229" max="10229" width="58" style="38" customWidth="1"/>
    <col min="10230" max="10230" width="24.140625" style="38" customWidth="1"/>
    <col min="10231" max="10232" width="0" style="38" hidden="1" customWidth="1"/>
    <col min="10233" max="10233" width="61.42578125" style="38" customWidth="1"/>
    <col min="10234" max="10234" width="62.140625" style="38" customWidth="1"/>
    <col min="10235" max="10238" width="0" style="38" hidden="1" customWidth="1"/>
    <col min="10239" max="10483" width="8.7109375" style="38"/>
    <col min="10484" max="10484" width="5.5703125" style="38" customWidth="1"/>
    <col min="10485" max="10485" width="58" style="38" customWidth="1"/>
    <col min="10486" max="10486" width="24.140625" style="38" customWidth="1"/>
    <col min="10487" max="10488" width="0" style="38" hidden="1" customWidth="1"/>
    <col min="10489" max="10489" width="61.42578125" style="38" customWidth="1"/>
    <col min="10490" max="10490" width="62.140625" style="38" customWidth="1"/>
    <col min="10491" max="10494" width="0" style="38" hidden="1" customWidth="1"/>
    <col min="10495" max="10739" width="8.7109375" style="38"/>
    <col min="10740" max="10740" width="5.5703125" style="38" customWidth="1"/>
    <col min="10741" max="10741" width="58" style="38" customWidth="1"/>
    <col min="10742" max="10742" width="24.140625" style="38" customWidth="1"/>
    <col min="10743" max="10744" width="0" style="38" hidden="1" customWidth="1"/>
    <col min="10745" max="10745" width="61.42578125" style="38" customWidth="1"/>
    <col min="10746" max="10746" width="62.140625" style="38" customWidth="1"/>
    <col min="10747" max="10750" width="0" style="38" hidden="1" customWidth="1"/>
    <col min="10751" max="10995" width="8.7109375" style="38"/>
    <col min="10996" max="10996" width="5.5703125" style="38" customWidth="1"/>
    <col min="10997" max="10997" width="58" style="38" customWidth="1"/>
    <col min="10998" max="10998" width="24.140625" style="38" customWidth="1"/>
    <col min="10999" max="11000" width="0" style="38" hidden="1" customWidth="1"/>
    <col min="11001" max="11001" width="61.42578125" style="38" customWidth="1"/>
    <col min="11002" max="11002" width="62.140625" style="38" customWidth="1"/>
    <col min="11003" max="11006" width="0" style="38" hidden="1" customWidth="1"/>
    <col min="11007" max="11251" width="8.7109375" style="38"/>
    <col min="11252" max="11252" width="5.5703125" style="38" customWidth="1"/>
    <col min="11253" max="11253" width="58" style="38" customWidth="1"/>
    <col min="11254" max="11254" width="24.140625" style="38" customWidth="1"/>
    <col min="11255" max="11256" width="0" style="38" hidden="1" customWidth="1"/>
    <col min="11257" max="11257" width="61.42578125" style="38" customWidth="1"/>
    <col min="11258" max="11258" width="62.140625" style="38" customWidth="1"/>
    <col min="11259" max="11262" width="0" style="38" hidden="1" customWidth="1"/>
    <col min="11263" max="11507" width="8.7109375" style="38"/>
    <col min="11508" max="11508" width="5.5703125" style="38" customWidth="1"/>
    <col min="11509" max="11509" width="58" style="38" customWidth="1"/>
    <col min="11510" max="11510" width="24.140625" style="38" customWidth="1"/>
    <col min="11511" max="11512" width="0" style="38" hidden="1" customWidth="1"/>
    <col min="11513" max="11513" width="61.42578125" style="38" customWidth="1"/>
    <col min="11514" max="11514" width="62.140625" style="38" customWidth="1"/>
    <col min="11515" max="11518" width="0" style="38" hidden="1" customWidth="1"/>
    <col min="11519" max="11763" width="8.7109375" style="38"/>
    <col min="11764" max="11764" width="5.5703125" style="38" customWidth="1"/>
    <col min="11765" max="11765" width="58" style="38" customWidth="1"/>
    <col min="11766" max="11766" width="24.140625" style="38" customWidth="1"/>
    <col min="11767" max="11768" width="0" style="38" hidden="1" customWidth="1"/>
    <col min="11769" max="11769" width="61.42578125" style="38" customWidth="1"/>
    <col min="11770" max="11770" width="62.140625" style="38" customWidth="1"/>
    <col min="11771" max="11774" width="0" style="38" hidden="1" customWidth="1"/>
    <col min="11775" max="12019" width="8.7109375" style="38"/>
    <col min="12020" max="12020" width="5.5703125" style="38" customWidth="1"/>
    <col min="12021" max="12021" width="58" style="38" customWidth="1"/>
    <col min="12022" max="12022" width="24.140625" style="38" customWidth="1"/>
    <col min="12023" max="12024" width="0" style="38" hidden="1" customWidth="1"/>
    <col min="12025" max="12025" width="61.42578125" style="38" customWidth="1"/>
    <col min="12026" max="12026" width="62.140625" style="38" customWidth="1"/>
    <col min="12027" max="12030" width="0" style="38" hidden="1" customWidth="1"/>
    <col min="12031" max="12275" width="8.7109375" style="38"/>
    <col min="12276" max="12276" width="5.5703125" style="38" customWidth="1"/>
    <col min="12277" max="12277" width="58" style="38" customWidth="1"/>
    <col min="12278" max="12278" width="24.140625" style="38" customWidth="1"/>
    <col min="12279" max="12280" width="0" style="38" hidden="1" customWidth="1"/>
    <col min="12281" max="12281" width="61.42578125" style="38" customWidth="1"/>
    <col min="12282" max="12282" width="62.140625" style="38" customWidth="1"/>
    <col min="12283" max="12286" width="0" style="38" hidden="1" customWidth="1"/>
    <col min="12287" max="12531" width="8.7109375" style="38"/>
    <col min="12532" max="12532" width="5.5703125" style="38" customWidth="1"/>
    <col min="12533" max="12533" width="58" style="38" customWidth="1"/>
    <col min="12534" max="12534" width="24.140625" style="38" customWidth="1"/>
    <col min="12535" max="12536" width="0" style="38" hidden="1" customWidth="1"/>
    <col min="12537" max="12537" width="61.42578125" style="38" customWidth="1"/>
    <col min="12538" max="12538" width="62.140625" style="38" customWidth="1"/>
    <col min="12539" max="12542" width="0" style="38" hidden="1" customWidth="1"/>
    <col min="12543" max="12787" width="8.7109375" style="38"/>
    <col min="12788" max="12788" width="5.5703125" style="38" customWidth="1"/>
    <col min="12789" max="12789" width="58" style="38" customWidth="1"/>
    <col min="12790" max="12790" width="24.140625" style="38" customWidth="1"/>
    <col min="12791" max="12792" width="0" style="38" hidden="1" customWidth="1"/>
    <col min="12793" max="12793" width="61.42578125" style="38" customWidth="1"/>
    <col min="12794" max="12794" width="62.140625" style="38" customWidth="1"/>
    <col min="12795" max="12798" width="0" style="38" hidden="1" customWidth="1"/>
    <col min="12799" max="13043" width="8.7109375" style="38"/>
    <col min="13044" max="13044" width="5.5703125" style="38" customWidth="1"/>
    <col min="13045" max="13045" width="58" style="38" customWidth="1"/>
    <col min="13046" max="13046" width="24.140625" style="38" customWidth="1"/>
    <col min="13047" max="13048" width="0" style="38" hidden="1" customWidth="1"/>
    <col min="13049" max="13049" width="61.42578125" style="38" customWidth="1"/>
    <col min="13050" max="13050" width="62.140625" style="38" customWidth="1"/>
    <col min="13051" max="13054" width="0" style="38" hidden="1" customWidth="1"/>
    <col min="13055" max="13299" width="8.7109375" style="38"/>
    <col min="13300" max="13300" width="5.5703125" style="38" customWidth="1"/>
    <col min="13301" max="13301" width="58" style="38" customWidth="1"/>
    <col min="13302" max="13302" width="24.140625" style="38" customWidth="1"/>
    <col min="13303" max="13304" width="0" style="38" hidden="1" customWidth="1"/>
    <col min="13305" max="13305" width="61.42578125" style="38" customWidth="1"/>
    <col min="13306" max="13306" width="62.140625" style="38" customWidth="1"/>
    <col min="13307" max="13310" width="0" style="38" hidden="1" customWidth="1"/>
    <col min="13311" max="13555" width="8.7109375" style="38"/>
    <col min="13556" max="13556" width="5.5703125" style="38" customWidth="1"/>
    <col min="13557" max="13557" width="58" style="38" customWidth="1"/>
    <col min="13558" max="13558" width="24.140625" style="38" customWidth="1"/>
    <col min="13559" max="13560" width="0" style="38" hidden="1" customWidth="1"/>
    <col min="13561" max="13561" width="61.42578125" style="38" customWidth="1"/>
    <col min="13562" max="13562" width="62.140625" style="38" customWidth="1"/>
    <col min="13563" max="13566" width="0" style="38" hidden="1" customWidth="1"/>
    <col min="13567" max="13811" width="8.7109375" style="38"/>
    <col min="13812" max="13812" width="5.5703125" style="38" customWidth="1"/>
    <col min="13813" max="13813" width="58" style="38" customWidth="1"/>
    <col min="13814" max="13814" width="24.140625" style="38" customWidth="1"/>
    <col min="13815" max="13816" width="0" style="38" hidden="1" customWidth="1"/>
    <col min="13817" max="13817" width="61.42578125" style="38" customWidth="1"/>
    <col min="13818" max="13818" width="62.140625" style="38" customWidth="1"/>
    <col min="13819" max="13822" width="0" style="38" hidden="1" customWidth="1"/>
    <col min="13823" max="14067" width="8.7109375" style="38"/>
    <col min="14068" max="14068" width="5.5703125" style="38" customWidth="1"/>
    <col min="14069" max="14069" width="58" style="38" customWidth="1"/>
    <col min="14070" max="14070" width="24.140625" style="38" customWidth="1"/>
    <col min="14071" max="14072" width="0" style="38" hidden="1" customWidth="1"/>
    <col min="14073" max="14073" width="61.42578125" style="38" customWidth="1"/>
    <col min="14074" max="14074" width="62.140625" style="38" customWidth="1"/>
    <col min="14075" max="14078" width="0" style="38" hidden="1" customWidth="1"/>
    <col min="14079" max="14323" width="8.7109375" style="38"/>
    <col min="14324" max="14324" width="5.5703125" style="38" customWidth="1"/>
    <col min="14325" max="14325" width="58" style="38" customWidth="1"/>
    <col min="14326" max="14326" width="24.140625" style="38" customWidth="1"/>
    <col min="14327" max="14328" width="0" style="38" hidden="1" customWidth="1"/>
    <col min="14329" max="14329" width="61.42578125" style="38" customWidth="1"/>
    <col min="14330" max="14330" width="62.140625" style="38" customWidth="1"/>
    <col min="14331" max="14334" width="0" style="38" hidden="1" customWidth="1"/>
    <col min="14335" max="14579" width="8.7109375" style="38"/>
    <col min="14580" max="14580" width="5.5703125" style="38" customWidth="1"/>
    <col min="14581" max="14581" width="58" style="38" customWidth="1"/>
    <col min="14582" max="14582" width="24.140625" style="38" customWidth="1"/>
    <col min="14583" max="14584" width="0" style="38" hidden="1" customWidth="1"/>
    <col min="14585" max="14585" width="61.42578125" style="38" customWidth="1"/>
    <col min="14586" max="14586" width="62.140625" style="38" customWidth="1"/>
    <col min="14587" max="14590" width="0" style="38" hidden="1" customWidth="1"/>
    <col min="14591" max="14835" width="8.7109375" style="38"/>
    <col min="14836" max="14836" width="5.5703125" style="38" customWidth="1"/>
    <col min="14837" max="14837" width="58" style="38" customWidth="1"/>
    <col min="14838" max="14838" width="24.140625" style="38" customWidth="1"/>
    <col min="14839" max="14840" width="0" style="38" hidden="1" customWidth="1"/>
    <col min="14841" max="14841" width="61.42578125" style="38" customWidth="1"/>
    <col min="14842" max="14842" width="62.140625" style="38" customWidth="1"/>
    <col min="14843" max="14846" width="0" style="38" hidden="1" customWidth="1"/>
    <col min="14847" max="15091" width="8.7109375" style="38"/>
    <col min="15092" max="15092" width="5.5703125" style="38" customWidth="1"/>
    <col min="15093" max="15093" width="58" style="38" customWidth="1"/>
    <col min="15094" max="15094" width="24.140625" style="38" customWidth="1"/>
    <col min="15095" max="15096" width="0" style="38" hidden="1" customWidth="1"/>
    <col min="15097" max="15097" width="61.42578125" style="38" customWidth="1"/>
    <col min="15098" max="15098" width="62.140625" style="38" customWidth="1"/>
    <col min="15099" max="15102" width="0" style="38" hidden="1" customWidth="1"/>
    <col min="15103" max="15347" width="8.7109375" style="38"/>
    <col min="15348" max="15348" width="5.5703125" style="38" customWidth="1"/>
    <col min="15349" max="15349" width="58" style="38" customWidth="1"/>
    <col min="15350" max="15350" width="24.140625" style="38" customWidth="1"/>
    <col min="15351" max="15352" width="0" style="38" hidden="1" customWidth="1"/>
    <col min="15353" max="15353" width="61.42578125" style="38" customWidth="1"/>
    <col min="15354" max="15354" width="62.140625" style="38" customWidth="1"/>
    <col min="15355" max="15358" width="0" style="38" hidden="1" customWidth="1"/>
    <col min="15359" max="15603" width="8.7109375" style="38"/>
    <col min="15604" max="15604" width="5.5703125" style="38" customWidth="1"/>
    <col min="15605" max="15605" width="58" style="38" customWidth="1"/>
    <col min="15606" max="15606" width="24.140625" style="38" customWidth="1"/>
    <col min="15607" max="15608" width="0" style="38" hidden="1" customWidth="1"/>
    <col min="15609" max="15609" width="61.42578125" style="38" customWidth="1"/>
    <col min="15610" max="15610" width="62.140625" style="38" customWidth="1"/>
    <col min="15611" max="15614" width="0" style="38" hidden="1" customWidth="1"/>
    <col min="15615" max="15859" width="8.7109375" style="38"/>
    <col min="15860" max="15860" width="5.5703125" style="38" customWidth="1"/>
    <col min="15861" max="15861" width="58" style="38" customWidth="1"/>
    <col min="15862" max="15862" width="24.140625" style="38" customWidth="1"/>
    <col min="15863" max="15864" width="0" style="38" hidden="1" customWidth="1"/>
    <col min="15865" max="15865" width="61.42578125" style="38" customWidth="1"/>
    <col min="15866" max="15866" width="62.140625" style="38" customWidth="1"/>
    <col min="15867" max="15870" width="0" style="38" hidden="1" customWidth="1"/>
    <col min="15871" max="16115" width="8.7109375" style="38"/>
    <col min="16116" max="16116" width="5.5703125" style="38" customWidth="1"/>
    <col min="16117" max="16117" width="58" style="38" customWidth="1"/>
    <col min="16118" max="16118" width="24.140625" style="38" customWidth="1"/>
    <col min="16119" max="16120" width="0" style="38" hidden="1" customWidth="1"/>
    <col min="16121" max="16121" width="61.42578125" style="38" customWidth="1"/>
    <col min="16122" max="16122" width="62.140625" style="38" customWidth="1"/>
    <col min="16123" max="16126" width="0" style="38" hidden="1" customWidth="1"/>
    <col min="16127" max="16370" width="8.7109375" style="38"/>
    <col min="16371" max="16384" width="8.85546875" style="38" customWidth="1"/>
  </cols>
  <sheetData>
    <row r="1" spans="2:6">
      <c r="C1" s="39" t="s">
        <v>120</v>
      </c>
    </row>
    <row r="2" spans="2:6">
      <c r="C2" s="41">
        <v>44317</v>
      </c>
    </row>
    <row r="3" spans="2:6">
      <c r="B3" s="42"/>
      <c r="C3" s="43" t="s">
        <v>121</v>
      </c>
    </row>
    <row r="4" spans="2:6" ht="24.95" customHeight="1" thickBot="1">
      <c r="B4" s="44" t="s">
        <v>122</v>
      </c>
      <c r="C4" s="45" t="s">
        <v>123</v>
      </c>
      <c r="D4" s="44" t="s">
        <v>124</v>
      </c>
      <c r="E4" s="46" t="s">
        <v>125</v>
      </c>
      <c r="F4" s="46" t="s">
        <v>126</v>
      </c>
    </row>
    <row r="5" spans="2:6" ht="39.950000000000003" customHeight="1">
      <c r="B5" s="47" t="s">
        <v>127</v>
      </c>
      <c r="C5" s="48">
        <f>'[14]DC  CNA  DC III'!J6</f>
        <v>19.000800000000002</v>
      </c>
      <c r="D5" s="490" t="s">
        <v>128</v>
      </c>
      <c r="E5" s="488" t="s">
        <v>129</v>
      </c>
      <c r="F5" s="488" t="s">
        <v>130</v>
      </c>
    </row>
    <row r="6" spans="2:6" ht="42.6" customHeight="1" thickBot="1">
      <c r="B6" s="49" t="s">
        <v>131</v>
      </c>
      <c r="C6" s="50">
        <f>C5*2080</f>
        <v>39521.664000000004</v>
      </c>
      <c r="D6" s="491"/>
      <c r="E6" s="489"/>
      <c r="F6" s="489"/>
    </row>
    <row r="7" spans="2:6">
      <c r="B7" s="47" t="s">
        <v>132</v>
      </c>
      <c r="C7" s="48">
        <f>'[14]DC  CNA  DC III'!J19</f>
        <v>24.241120000000002</v>
      </c>
      <c r="D7" s="51" t="s">
        <v>133</v>
      </c>
      <c r="E7" s="488" t="s">
        <v>134</v>
      </c>
      <c r="F7" s="488" t="s">
        <v>135</v>
      </c>
    </row>
    <row r="8" spans="2:6" ht="27" thickBot="1">
      <c r="B8" s="52" t="s">
        <v>136</v>
      </c>
      <c r="C8" s="53">
        <f>C7*2080</f>
        <v>50421.529600000002</v>
      </c>
      <c r="D8" s="38" t="s">
        <v>137</v>
      </c>
      <c r="E8" s="492"/>
      <c r="F8" s="492"/>
    </row>
    <row r="9" spans="2:6">
      <c r="B9" s="47" t="s">
        <v>138</v>
      </c>
      <c r="C9" s="48">
        <f>'[14]DC  CNA  DC III'!J10</f>
        <v>18.008399999999998</v>
      </c>
      <c r="D9" s="51"/>
      <c r="E9" s="488" t="s">
        <v>139</v>
      </c>
      <c r="F9" s="488" t="s">
        <v>140</v>
      </c>
    </row>
    <row r="10" spans="2:6" ht="27" thickBot="1">
      <c r="B10" s="49" t="s">
        <v>141</v>
      </c>
      <c r="C10" s="50">
        <f>C9*2080</f>
        <v>37457.471999999994</v>
      </c>
      <c r="D10" s="54"/>
      <c r="E10" s="489"/>
      <c r="F10" s="489"/>
    </row>
    <row r="11" spans="2:6">
      <c r="B11" s="47" t="s">
        <v>142</v>
      </c>
      <c r="C11" s="48">
        <f>'[14]Case Social Worker.Manager'!J4</f>
        <v>24.3888</v>
      </c>
      <c r="D11" s="51" t="s">
        <v>143</v>
      </c>
      <c r="E11" s="488" t="s">
        <v>144</v>
      </c>
      <c r="F11" s="488" t="s">
        <v>145</v>
      </c>
    </row>
    <row r="12" spans="2:6" ht="27" thickBot="1">
      <c r="B12" s="52" t="s">
        <v>146</v>
      </c>
      <c r="C12" s="53">
        <f>C11*2080</f>
        <v>50728.703999999998</v>
      </c>
      <c r="D12" s="38" t="s">
        <v>147</v>
      </c>
      <c r="E12" s="492"/>
      <c r="F12" s="492"/>
    </row>
    <row r="13" spans="2:6" ht="78.75">
      <c r="B13" s="55" t="s">
        <v>148</v>
      </c>
      <c r="C13" s="48">
        <f>'[14]Case Social Worker.Manager'!J11</f>
        <v>30.569499999999998</v>
      </c>
      <c r="D13" s="51" t="s">
        <v>149</v>
      </c>
      <c r="E13" s="488" t="s">
        <v>150</v>
      </c>
      <c r="F13" s="488" t="s">
        <v>151</v>
      </c>
    </row>
    <row r="14" spans="2:6" ht="53.25" thickBot="1">
      <c r="B14" s="56" t="s">
        <v>152</v>
      </c>
      <c r="C14" s="50">
        <f>C13*2080</f>
        <v>63584.56</v>
      </c>
      <c r="D14" s="54" t="s">
        <v>153</v>
      </c>
      <c r="E14" s="489"/>
      <c r="F14" s="489"/>
    </row>
    <row r="15" spans="2:6">
      <c r="B15" s="47" t="s">
        <v>154</v>
      </c>
      <c r="C15" s="48">
        <f>[14]Nursing!J2</f>
        <v>29.084</v>
      </c>
      <c r="D15" s="51"/>
      <c r="E15" s="488" t="s">
        <v>155</v>
      </c>
      <c r="F15" s="488" t="s">
        <v>156</v>
      </c>
    </row>
    <row r="16" spans="2:6" ht="27" thickBot="1">
      <c r="B16" s="49" t="s">
        <v>157</v>
      </c>
      <c r="C16" s="50">
        <f>C15*2080</f>
        <v>60494.720000000001</v>
      </c>
      <c r="D16" s="54" t="s">
        <v>158</v>
      </c>
      <c r="E16" s="489"/>
      <c r="F16" s="489"/>
    </row>
    <row r="17" spans="2:6">
      <c r="B17" s="47" t="s">
        <v>159</v>
      </c>
      <c r="C17" s="48">
        <f>[14]Clinical!J6</f>
        <v>35.178200000000004</v>
      </c>
      <c r="D17" s="51" t="s">
        <v>160</v>
      </c>
      <c r="E17" s="488" t="s">
        <v>161</v>
      </c>
      <c r="F17" s="488" t="s">
        <v>162</v>
      </c>
    </row>
    <row r="18" spans="2:6" ht="27" thickBot="1">
      <c r="B18" s="49" t="s">
        <v>163</v>
      </c>
      <c r="C18" s="50">
        <f>C17*2080</f>
        <v>73170.656000000003</v>
      </c>
      <c r="D18" s="54"/>
      <c r="E18" s="489"/>
      <c r="F18" s="489"/>
    </row>
    <row r="19" spans="2:6">
      <c r="B19" s="47" t="s">
        <v>164</v>
      </c>
      <c r="C19" s="57">
        <f>[14]Therapies!M2</f>
        <v>30.937200000000001</v>
      </c>
      <c r="D19" s="51"/>
      <c r="E19" s="488" t="s">
        <v>165</v>
      </c>
      <c r="F19" s="488" t="s">
        <v>166</v>
      </c>
    </row>
    <row r="20" spans="2:6" ht="27" thickBot="1">
      <c r="B20" s="49" t="s">
        <v>167</v>
      </c>
      <c r="C20" s="50">
        <f>C19*2080</f>
        <v>64349.376000000004</v>
      </c>
      <c r="D20" s="54"/>
      <c r="E20" s="489"/>
      <c r="F20" s="489"/>
    </row>
    <row r="21" spans="2:6">
      <c r="B21" s="52" t="s">
        <v>168</v>
      </c>
      <c r="C21" s="58">
        <f>[14]Management!J2</f>
        <v>35.084000000000003</v>
      </c>
      <c r="D21" s="38" t="s">
        <v>169</v>
      </c>
      <c r="E21" s="488" t="s">
        <v>170</v>
      </c>
      <c r="F21" s="493" t="s">
        <v>171</v>
      </c>
    </row>
    <row r="22" spans="2:6" ht="27" thickBot="1">
      <c r="B22" s="49" t="s">
        <v>172</v>
      </c>
      <c r="C22" s="50">
        <f>C21*2080</f>
        <v>72974.720000000001</v>
      </c>
      <c r="D22" s="54" t="s">
        <v>173</v>
      </c>
      <c r="E22" s="489"/>
      <c r="F22" s="494"/>
    </row>
    <row r="23" spans="2:6">
      <c r="B23" s="52" t="s">
        <v>174</v>
      </c>
      <c r="C23" s="58">
        <f>[14]Therapies!M8</f>
        <v>38.650100000000002</v>
      </c>
      <c r="D23" s="38" t="s">
        <v>175</v>
      </c>
      <c r="E23" s="488" t="s">
        <v>150</v>
      </c>
      <c r="F23" s="488" t="s">
        <v>176</v>
      </c>
    </row>
    <row r="24" spans="2:6" ht="27" thickBot="1">
      <c r="B24" s="49" t="s">
        <v>177</v>
      </c>
      <c r="C24" s="50">
        <f>C23*2080</f>
        <v>80392.207999999999</v>
      </c>
      <c r="D24" s="54"/>
      <c r="E24" s="489"/>
      <c r="F24" s="489"/>
    </row>
    <row r="25" spans="2:6">
      <c r="B25" s="52" t="s">
        <v>178</v>
      </c>
      <c r="C25" s="58">
        <f>[14]Therapies!M14</f>
        <v>40.563600000000001</v>
      </c>
      <c r="D25" s="38" t="s">
        <v>179</v>
      </c>
      <c r="E25" s="488" t="s">
        <v>150</v>
      </c>
      <c r="F25" s="488" t="s">
        <v>180</v>
      </c>
    </row>
    <row r="26" spans="2:6" ht="27" thickBot="1">
      <c r="B26" s="49" t="s">
        <v>181</v>
      </c>
      <c r="C26" s="53">
        <f>C25*2080</f>
        <v>84372.288</v>
      </c>
      <c r="E26" s="489"/>
      <c r="F26" s="489"/>
    </row>
    <row r="27" spans="2:6">
      <c r="B27" s="47" t="s">
        <v>182</v>
      </c>
      <c r="C27" s="48">
        <f>[14]Clinical!J12</f>
        <v>43.1312</v>
      </c>
      <c r="D27" s="495" t="s">
        <v>183</v>
      </c>
      <c r="E27" s="488" t="s">
        <v>184</v>
      </c>
      <c r="F27" s="488" t="s">
        <v>185</v>
      </c>
    </row>
    <row r="28" spans="2:6" ht="34.5" customHeight="1" thickBot="1">
      <c r="B28" s="49" t="s">
        <v>186</v>
      </c>
      <c r="C28" s="50">
        <f>C27*2080</f>
        <v>89712.895999999993</v>
      </c>
      <c r="D28" s="496"/>
      <c r="E28" s="489"/>
      <c r="F28" s="489"/>
    </row>
    <row r="29" spans="2:6">
      <c r="B29" s="47" t="s">
        <v>187</v>
      </c>
      <c r="C29" s="48">
        <f>[14]Therapies!M18</f>
        <v>43.066240000000008</v>
      </c>
      <c r="D29" s="51"/>
      <c r="E29" s="488" t="s">
        <v>150</v>
      </c>
      <c r="F29" s="488" t="s">
        <v>188</v>
      </c>
    </row>
    <row r="30" spans="2:6" ht="27" thickBot="1">
      <c r="B30" s="49" t="s">
        <v>189</v>
      </c>
      <c r="C30" s="50">
        <f>C29*2080</f>
        <v>89577.779200000019</v>
      </c>
      <c r="D30" s="54"/>
      <c r="E30" s="489"/>
      <c r="F30" s="489"/>
    </row>
    <row r="31" spans="2:6">
      <c r="B31" s="47" t="s">
        <v>190</v>
      </c>
      <c r="C31" s="48">
        <f>[14]Nursing!J6</f>
        <v>47.109200000000001</v>
      </c>
      <c r="D31" s="51"/>
      <c r="E31" s="488" t="s">
        <v>191</v>
      </c>
      <c r="F31" s="488" t="s">
        <v>192</v>
      </c>
    </row>
    <row r="32" spans="2:6" ht="38.450000000000003" customHeight="1" thickBot="1">
      <c r="B32" s="49" t="s">
        <v>193</v>
      </c>
      <c r="C32" s="50">
        <f>C31*2080</f>
        <v>97987.135999999999</v>
      </c>
      <c r="D32" s="54"/>
      <c r="E32" s="489"/>
      <c r="F32" s="489"/>
    </row>
    <row r="33" spans="2:6">
      <c r="B33" s="47" t="s">
        <v>194</v>
      </c>
      <c r="C33" s="48">
        <f>[14]Nursing!J11</f>
        <v>62.008800000000001</v>
      </c>
      <c r="D33" s="51"/>
      <c r="E33" s="488" t="s">
        <v>195</v>
      </c>
      <c r="F33" s="488" t="s">
        <v>196</v>
      </c>
    </row>
    <row r="34" spans="2:6" ht="27" thickBot="1">
      <c r="B34" s="49" t="s">
        <v>197</v>
      </c>
      <c r="C34" s="50">
        <f>C33*2080</f>
        <v>128978.304</v>
      </c>
      <c r="D34" s="54"/>
      <c r="E34" s="489"/>
      <c r="F34" s="489"/>
    </row>
    <row r="36" spans="2:6" ht="78.75">
      <c r="B36" s="59" t="s">
        <v>198</v>
      </c>
      <c r="C36" s="53">
        <f>C6</f>
        <v>39521.664000000004</v>
      </c>
    </row>
    <row r="37" spans="2:6">
      <c r="C37" s="60"/>
    </row>
    <row r="38" spans="2:6">
      <c r="B38" s="61" t="s">
        <v>199</v>
      </c>
      <c r="C38" s="62">
        <f>23.39%+2%</f>
        <v>0.25390000000000001</v>
      </c>
      <c r="D38" s="38" t="s">
        <v>200</v>
      </c>
    </row>
    <row r="39" spans="2:6" ht="34.35" customHeight="1">
      <c r="B39" s="61"/>
      <c r="C39" s="60"/>
      <c r="D39" s="497" t="s">
        <v>201</v>
      </c>
      <c r="E39" s="497"/>
      <c r="F39" s="38"/>
    </row>
    <row r="40" spans="2:6">
      <c r="C40" s="60"/>
    </row>
    <row r="41" spans="2:6">
      <c r="B41" s="61" t="s">
        <v>202</v>
      </c>
      <c r="C41" s="63">
        <v>0.12</v>
      </c>
      <c r="D41" s="38" t="s">
        <v>203</v>
      </c>
    </row>
    <row r="42" spans="2:6">
      <c r="B42" s="61"/>
      <c r="C42" s="64"/>
    </row>
    <row r="43" spans="2:6">
      <c r="B43" s="498" t="s">
        <v>204</v>
      </c>
      <c r="C43" s="498"/>
      <c r="D43" s="498"/>
    </row>
    <row r="44" spans="2:6">
      <c r="B44" s="61" t="s">
        <v>205</v>
      </c>
      <c r="C44" s="53">
        <v>247150</v>
      </c>
      <c r="D44" s="38" t="s">
        <v>206</v>
      </c>
    </row>
    <row r="45" spans="2:6">
      <c r="B45" s="61" t="s">
        <v>207</v>
      </c>
      <c r="C45" s="53">
        <v>206010</v>
      </c>
      <c r="D45" s="38" t="s">
        <v>208</v>
      </c>
    </row>
    <row r="46" spans="2:6">
      <c r="B46" s="61" t="s">
        <v>209</v>
      </c>
      <c r="C46" s="53">
        <f>'[14]02021 53_PCT'!N34</f>
        <v>133902.08000000002</v>
      </c>
      <c r="D46" s="38" t="s">
        <v>210</v>
      </c>
    </row>
    <row r="49" spans="2:4">
      <c r="C49" s="65"/>
    </row>
    <row r="50" spans="2:4" ht="27">
      <c r="B50" s="66" t="s">
        <v>211</v>
      </c>
      <c r="C50" s="67" t="s">
        <v>212</v>
      </c>
      <c r="D50" s="68" t="s">
        <v>213</v>
      </c>
    </row>
    <row r="51" spans="2:4" ht="27">
      <c r="B51" s="69" t="s">
        <v>214</v>
      </c>
      <c r="C51" s="70">
        <v>15</v>
      </c>
      <c r="D51" s="71">
        <f>C51*8</f>
        <v>120</v>
      </c>
    </row>
    <row r="52" spans="2:4" ht="27">
      <c r="B52" s="69" t="s">
        <v>215</v>
      </c>
      <c r="C52" s="70">
        <v>8</v>
      </c>
      <c r="D52" s="71">
        <f>C52*8</f>
        <v>64</v>
      </c>
    </row>
    <row r="53" spans="2:4" ht="27">
      <c r="B53" s="69" t="s">
        <v>216</v>
      </c>
      <c r="C53" s="70">
        <v>11</v>
      </c>
      <c r="D53" s="71">
        <f>C53*8</f>
        <v>88</v>
      </c>
    </row>
    <row r="54" spans="2:4" ht="27.75" thickBot="1">
      <c r="B54" s="72" t="s">
        <v>217</v>
      </c>
      <c r="C54" s="70">
        <v>7</v>
      </c>
      <c r="D54" s="73">
        <f>C54*8</f>
        <v>56</v>
      </c>
    </row>
    <row r="55" spans="2:4" ht="27.75" thickTop="1">
      <c r="B55" s="69"/>
      <c r="C55" s="74" t="s">
        <v>218</v>
      </c>
      <c r="D55" s="71">
        <f>SUM(D51:D54)</f>
        <v>328</v>
      </c>
    </row>
    <row r="56" spans="2:4" ht="27">
      <c r="B56" s="499" t="s">
        <v>219</v>
      </c>
      <c r="C56" s="500"/>
      <c r="D56" s="75">
        <f>D55/(52*40)</f>
        <v>0.15769230769230769</v>
      </c>
    </row>
  </sheetData>
  <mergeCells count="35">
    <mergeCell ref="D39:E39"/>
    <mergeCell ref="B43:D43"/>
    <mergeCell ref="B56:C56"/>
    <mergeCell ref="E29:E30"/>
    <mergeCell ref="F29:F30"/>
    <mergeCell ref="E31:E32"/>
    <mergeCell ref="F31:F32"/>
    <mergeCell ref="E33:E34"/>
    <mergeCell ref="F33:F34"/>
    <mergeCell ref="E23:E24"/>
    <mergeCell ref="F23:F24"/>
    <mergeCell ref="E25:E26"/>
    <mergeCell ref="F25:F26"/>
    <mergeCell ref="D27:D28"/>
    <mergeCell ref="E27:E28"/>
    <mergeCell ref="F27:F28"/>
    <mergeCell ref="E17:E18"/>
    <mergeCell ref="F17:F18"/>
    <mergeCell ref="E19:E20"/>
    <mergeCell ref="F19:F20"/>
    <mergeCell ref="E21:E22"/>
    <mergeCell ref="F21:F22"/>
    <mergeCell ref="E11:E12"/>
    <mergeCell ref="F11:F12"/>
    <mergeCell ref="E13:E14"/>
    <mergeCell ref="F13:F14"/>
    <mergeCell ref="E15:E16"/>
    <mergeCell ref="F15:F16"/>
    <mergeCell ref="E9:E10"/>
    <mergeCell ref="F9:F10"/>
    <mergeCell ref="D5:D6"/>
    <mergeCell ref="E5:E6"/>
    <mergeCell ref="F5:F6"/>
    <mergeCell ref="E7:E8"/>
    <mergeCell ref="F7:F8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FD25E-83AD-4F76-83D0-75A4ED0C2337}">
  <sheetPr>
    <pageSetUpPr fitToPage="1"/>
  </sheetPr>
  <dimension ref="A1:AF71"/>
  <sheetViews>
    <sheetView topLeftCell="Q1" zoomScaleNormal="100" workbookViewId="0">
      <selection activeCell="G73" sqref="G73"/>
    </sheetView>
  </sheetViews>
  <sheetFormatPr defaultColWidth="9.140625" defaultRowHeight="15"/>
  <cols>
    <col min="1" max="1" width="5.28515625" customWidth="1"/>
    <col min="2" max="2" width="22.42578125" customWidth="1"/>
    <col min="3" max="3" width="14.42578125" customWidth="1"/>
    <col min="4" max="4" width="13" bestFit="1" customWidth="1"/>
    <col min="5" max="6" width="10.140625" hidden="1" customWidth="1"/>
    <col min="7" max="7" width="9.42578125" customWidth="1"/>
    <col min="8" max="8" width="8.85546875" customWidth="1"/>
    <col min="9" max="9" width="9.42578125" customWidth="1"/>
    <col min="10" max="10" width="8.7109375" customWidth="1"/>
    <col min="11" max="11" width="9" customWidth="1"/>
    <col min="12" max="12" width="9.28515625" customWidth="1"/>
    <col min="13" max="13" width="18.85546875" customWidth="1"/>
    <col min="14" max="14" width="3.140625" customWidth="1"/>
    <col min="15" max="15" width="41.42578125" customWidth="1"/>
    <col min="16" max="16" width="12.85546875" customWidth="1"/>
    <col min="17" max="17" width="15.140625" customWidth="1"/>
    <col min="18" max="18" width="19.42578125" bestFit="1" customWidth="1"/>
    <col min="19" max="19" width="2.42578125" customWidth="1"/>
    <col min="20" max="20" width="32.140625" customWidth="1"/>
    <col min="21" max="21" width="13.42578125" customWidth="1"/>
    <col min="22" max="22" width="17.85546875" customWidth="1"/>
    <col min="23" max="23" width="16.140625" customWidth="1"/>
    <col min="24" max="24" width="2.28515625" customWidth="1"/>
    <col min="25" max="25" width="33.28515625" customWidth="1"/>
    <col min="26" max="26" width="13.42578125" customWidth="1"/>
    <col min="27" max="27" width="17" customWidth="1"/>
    <col min="28" max="28" width="20.140625" customWidth="1"/>
    <col min="29" max="29" width="8" customWidth="1"/>
  </cols>
  <sheetData>
    <row r="1" spans="1:29" ht="15.75">
      <c r="A1" s="76"/>
      <c r="B1" s="76" t="s">
        <v>220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29" ht="15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  <c r="P2" s="77"/>
      <c r="Q2" s="77"/>
      <c r="R2" s="77"/>
      <c r="S2" s="77"/>
      <c r="T2" s="79"/>
      <c r="U2" s="77"/>
      <c r="V2" s="77"/>
      <c r="W2" s="77"/>
      <c r="X2" s="77"/>
      <c r="Y2" s="77"/>
      <c r="Z2" s="77"/>
      <c r="AA2" s="77"/>
      <c r="AB2" s="77"/>
      <c r="AC2" s="77"/>
    </row>
    <row r="3" spans="1:29" ht="16.5" thickBot="1">
      <c r="A3" s="77"/>
      <c r="B3" s="80" t="str">
        <f>'Models A B C Budget'!B4:M4</f>
        <v>MASTER DATA LOOKUP TABLE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77"/>
      <c r="P3" s="77"/>
      <c r="Q3" s="77"/>
      <c r="R3" s="77"/>
      <c r="S3" s="77"/>
      <c r="T3" s="77"/>
      <c r="U3" s="77"/>
      <c r="V3" s="77"/>
      <c r="W3" s="77"/>
      <c r="X3" s="82"/>
      <c r="Y3" s="77"/>
      <c r="Z3" s="77"/>
      <c r="AA3" s="77"/>
      <c r="AB3" s="77"/>
      <c r="AC3" s="77"/>
    </row>
    <row r="4" spans="1:29" ht="16.5" thickBot="1">
      <c r="A4" s="77"/>
      <c r="B4" s="502" t="s">
        <v>221</v>
      </c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4"/>
      <c r="N4" s="77"/>
      <c r="O4" s="505" t="s">
        <v>222</v>
      </c>
      <c r="P4" s="506"/>
      <c r="Q4" s="506"/>
      <c r="R4" s="507"/>
      <c r="S4" s="82"/>
      <c r="T4" s="508" t="s">
        <v>223</v>
      </c>
      <c r="U4" s="509"/>
      <c r="V4" s="509"/>
      <c r="W4" s="510"/>
      <c r="X4" s="82"/>
      <c r="Y4" s="508" t="s">
        <v>224</v>
      </c>
      <c r="Z4" s="509"/>
      <c r="AA4" s="509"/>
      <c r="AB4" s="510"/>
      <c r="AC4" s="77"/>
    </row>
    <row r="5" spans="1:29" ht="16.5" thickBot="1">
      <c r="A5" s="77"/>
      <c r="B5" s="511" t="s">
        <v>225</v>
      </c>
      <c r="C5" s="512"/>
      <c r="D5" s="512"/>
      <c r="E5" s="83" t="s">
        <v>226</v>
      </c>
      <c r="F5" s="83" t="s">
        <v>227</v>
      </c>
      <c r="G5" s="513" t="s">
        <v>228</v>
      </c>
      <c r="H5" s="514"/>
      <c r="I5" s="514"/>
      <c r="J5" s="514"/>
      <c r="K5" s="514"/>
      <c r="L5" s="514"/>
      <c r="M5" s="515"/>
      <c r="N5" s="77"/>
      <c r="O5" s="84" t="s">
        <v>229</v>
      </c>
      <c r="P5" s="85">
        <v>13</v>
      </c>
      <c r="Q5" s="77"/>
      <c r="R5" s="86"/>
      <c r="S5" s="83"/>
      <c r="T5" s="84" t="s">
        <v>229</v>
      </c>
      <c r="U5" s="87">
        <v>20</v>
      </c>
      <c r="V5" s="88"/>
      <c r="W5" s="89"/>
      <c r="X5" s="83"/>
      <c r="Y5" s="84" t="s">
        <v>229</v>
      </c>
      <c r="Z5" s="90">
        <v>45</v>
      </c>
      <c r="AA5" s="77"/>
      <c r="AB5" s="86"/>
      <c r="AC5" s="77"/>
    </row>
    <row r="6" spans="1:29" ht="16.5" thickBot="1">
      <c r="A6" s="77"/>
      <c r="B6" s="91"/>
      <c r="C6" s="92" t="s">
        <v>230</v>
      </c>
      <c r="D6" s="93" t="s">
        <v>231</v>
      </c>
      <c r="E6" s="93"/>
      <c r="F6" s="93"/>
      <c r="G6" s="93" t="s">
        <v>232</v>
      </c>
      <c r="H6" s="93" t="s">
        <v>233</v>
      </c>
      <c r="I6" s="94"/>
      <c r="J6" s="94"/>
      <c r="K6" s="94"/>
      <c r="L6" s="94"/>
      <c r="M6" s="95"/>
      <c r="N6" s="77"/>
      <c r="O6" s="96" t="s">
        <v>234</v>
      </c>
      <c r="P6" s="87">
        <v>6</v>
      </c>
      <c r="Q6" s="97" t="s">
        <v>235</v>
      </c>
      <c r="R6" s="98">
        <f>P6*365</f>
        <v>2190</v>
      </c>
      <c r="S6" s="83"/>
      <c r="T6" s="96" t="s">
        <v>234</v>
      </c>
      <c r="U6" s="87">
        <v>9</v>
      </c>
      <c r="V6" s="97" t="s">
        <v>235</v>
      </c>
      <c r="W6" s="98">
        <f>U6*365</f>
        <v>3285</v>
      </c>
      <c r="X6" s="83"/>
      <c r="Y6" s="96" t="s">
        <v>234</v>
      </c>
      <c r="Z6" s="87">
        <v>13</v>
      </c>
      <c r="AA6" s="97" t="s">
        <v>235</v>
      </c>
      <c r="AB6" s="98">
        <f>Z6*365</f>
        <v>4745</v>
      </c>
      <c r="AC6" s="77"/>
    </row>
    <row r="7" spans="1:29" ht="16.5" thickBot="1">
      <c r="A7" s="77"/>
      <c r="B7" s="99" t="s">
        <v>236</v>
      </c>
      <c r="C7" s="100" t="s">
        <v>237</v>
      </c>
      <c r="D7" s="101">
        <v>6</v>
      </c>
      <c r="E7" s="101"/>
      <c r="F7" s="101"/>
      <c r="G7" s="102">
        <v>9</v>
      </c>
      <c r="H7" s="101">
        <v>13</v>
      </c>
      <c r="I7" s="103"/>
      <c r="J7" s="103"/>
      <c r="K7" s="103"/>
      <c r="L7" s="103"/>
      <c r="M7" s="104"/>
      <c r="N7" s="77"/>
      <c r="O7" s="96" t="s">
        <v>238</v>
      </c>
      <c r="P7" s="87">
        <v>4</v>
      </c>
      <c r="Q7" s="97" t="s">
        <v>235</v>
      </c>
      <c r="R7" s="98">
        <f>P7*365/3</f>
        <v>486.66666666666669</v>
      </c>
      <c r="S7" s="83"/>
      <c r="T7" s="96" t="s">
        <v>238</v>
      </c>
      <c r="U7" s="87">
        <v>10</v>
      </c>
      <c r="V7" s="97" t="s">
        <v>235</v>
      </c>
      <c r="W7" s="98">
        <f>U7*365/3</f>
        <v>1216.6666666666667</v>
      </c>
      <c r="X7" s="83"/>
      <c r="Y7" s="96" t="s">
        <v>238</v>
      </c>
      <c r="Z7" s="87">
        <v>32</v>
      </c>
      <c r="AA7" s="97" t="s">
        <v>235</v>
      </c>
      <c r="AB7" s="105">
        <f>Z7*365/3</f>
        <v>3893.3333333333335</v>
      </c>
      <c r="AC7" s="77"/>
    </row>
    <row r="8" spans="1:29" ht="15" customHeight="1">
      <c r="A8" s="77"/>
      <c r="B8" s="99"/>
      <c r="C8" s="106" t="s">
        <v>239</v>
      </c>
      <c r="D8" s="107">
        <v>4</v>
      </c>
      <c r="E8" s="107"/>
      <c r="F8" s="107"/>
      <c r="G8" s="108">
        <v>10</v>
      </c>
      <c r="H8" s="108">
        <v>32</v>
      </c>
      <c r="I8" s="103"/>
      <c r="J8" s="103"/>
      <c r="K8" s="103"/>
      <c r="L8" s="103"/>
      <c r="M8" s="104"/>
      <c r="N8" s="77"/>
      <c r="O8" s="109" t="s">
        <v>122</v>
      </c>
      <c r="P8" s="110"/>
      <c r="Q8" s="110" t="s">
        <v>240</v>
      </c>
      <c r="R8" s="111" t="s">
        <v>241</v>
      </c>
      <c r="S8" s="112"/>
      <c r="T8" s="109" t="s">
        <v>122</v>
      </c>
      <c r="U8" s="110"/>
      <c r="V8" s="110" t="s">
        <v>240</v>
      </c>
      <c r="W8" s="111" t="s">
        <v>241</v>
      </c>
      <c r="X8" s="112"/>
      <c r="Y8" s="109" t="s">
        <v>122</v>
      </c>
      <c r="Z8" s="110"/>
      <c r="AA8" s="110" t="s">
        <v>240</v>
      </c>
      <c r="AB8" s="111" t="s">
        <v>241</v>
      </c>
      <c r="AC8" s="77"/>
    </row>
    <row r="9" spans="1:29" ht="15.75">
      <c r="A9" s="77"/>
      <c r="B9" s="113" t="s">
        <v>242</v>
      </c>
      <c r="C9" s="114"/>
      <c r="D9" s="115">
        <v>0.05</v>
      </c>
      <c r="E9" s="115"/>
      <c r="F9" s="115"/>
      <c r="G9" s="115">
        <f>D9</f>
        <v>0.05</v>
      </c>
      <c r="H9" s="115">
        <f>D9/$D$7*$H$7</f>
        <v>0.10833333333333334</v>
      </c>
      <c r="I9" s="103" t="s">
        <v>243</v>
      </c>
      <c r="J9" s="103"/>
      <c r="K9" s="103"/>
      <c r="L9" s="103"/>
      <c r="M9" s="104"/>
      <c r="N9" s="77"/>
      <c r="O9" s="116" t="s">
        <v>244</v>
      </c>
      <c r="P9" s="117"/>
      <c r="Q9" s="118"/>
      <c r="R9" s="119">
        <v>76623</v>
      </c>
      <c r="S9" s="112"/>
      <c r="T9" s="116" t="str">
        <f t="shared" ref="T9:T11" si="0">O9</f>
        <v>Management Staff</v>
      </c>
      <c r="U9" s="117"/>
      <c r="V9" s="118"/>
      <c r="W9" s="119">
        <v>87570</v>
      </c>
      <c r="X9" s="112"/>
      <c r="Y9" s="116" t="str">
        <f>T9</f>
        <v>Management Staff</v>
      </c>
      <c r="Z9" s="117"/>
      <c r="AA9" s="118"/>
      <c r="AB9" s="119">
        <v>166017.49</v>
      </c>
      <c r="AC9" s="77"/>
    </row>
    <row r="10" spans="1:29" ht="15" customHeight="1">
      <c r="A10" s="77"/>
      <c r="B10" s="113" t="s">
        <v>245</v>
      </c>
      <c r="C10" s="114"/>
      <c r="D10" s="115">
        <v>1</v>
      </c>
      <c r="E10" s="115"/>
      <c r="F10" s="115"/>
      <c r="G10" s="115">
        <f>D10*1.15</f>
        <v>1.1499999999999999</v>
      </c>
      <c r="H10" s="115">
        <f t="shared" ref="H10:H19" si="1">D10/$D$7*$H$7</f>
        <v>2.1666666666666665</v>
      </c>
      <c r="I10" s="103" t="s">
        <v>243</v>
      </c>
      <c r="J10" s="103"/>
      <c r="K10" s="103"/>
      <c r="L10" s="103"/>
      <c r="M10" s="120"/>
      <c r="N10" s="77"/>
      <c r="O10" s="121" t="s">
        <v>246</v>
      </c>
      <c r="P10" s="117"/>
      <c r="Q10" s="118"/>
      <c r="R10" s="119">
        <v>136041</v>
      </c>
      <c r="S10" s="112"/>
      <c r="T10" s="121" t="str">
        <f t="shared" si="0"/>
        <v>Nursing and Clinical Staff</v>
      </c>
      <c r="U10" s="117"/>
      <c r="V10" s="118"/>
      <c r="W10" s="119">
        <v>159592</v>
      </c>
      <c r="X10" s="112"/>
      <c r="Y10" s="121" t="str">
        <f>T10</f>
        <v>Nursing and Clinical Staff</v>
      </c>
      <c r="Z10" s="117"/>
      <c r="AA10" s="118"/>
      <c r="AB10" s="119">
        <v>294755.83</v>
      </c>
      <c r="AC10" s="77"/>
    </row>
    <row r="11" spans="1:29" ht="16.5" thickBot="1">
      <c r="A11" s="77"/>
      <c r="B11" s="122" t="s">
        <v>247</v>
      </c>
      <c r="C11" s="123"/>
      <c r="D11" s="115">
        <v>0.6</v>
      </c>
      <c r="E11" s="115"/>
      <c r="F11" s="115"/>
      <c r="G11" s="115">
        <f>D11+0.05</f>
        <v>0.65</v>
      </c>
      <c r="H11" s="115">
        <f t="shared" si="1"/>
        <v>1.2999999999999998</v>
      </c>
      <c r="I11" s="103" t="s">
        <v>243</v>
      </c>
      <c r="J11" s="103"/>
      <c r="K11" s="103"/>
      <c r="L11" s="103"/>
      <c r="M11" s="104"/>
      <c r="N11" s="77"/>
      <c r="O11" s="121" t="s">
        <v>248</v>
      </c>
      <c r="P11" s="117"/>
      <c r="Q11" s="118"/>
      <c r="R11" s="119">
        <v>292507</v>
      </c>
      <c r="S11" s="112"/>
      <c r="T11" s="121" t="str">
        <f t="shared" si="0"/>
        <v>Direct Service Staff</v>
      </c>
      <c r="U11" s="117"/>
      <c r="V11" s="118"/>
      <c r="W11" s="119">
        <f>'[15]Models A B C Budget'!W15+'[15]Models A B C Budget'!W16+'[15]Models A B C Budget'!W17+'[15]Models A B C Budget'!W18+'[15]Models A B C Budget'!W19</f>
        <v>453413.81030400004</v>
      </c>
      <c r="X11" s="112"/>
      <c r="Y11" s="121" t="str">
        <f t="shared" ref="Y11" si="2">T11</f>
        <v>Direct Service Staff</v>
      </c>
      <c r="Z11" s="117"/>
      <c r="AA11" s="118"/>
      <c r="AB11" s="119">
        <v>1007419.88</v>
      </c>
      <c r="AC11" s="77"/>
    </row>
    <row r="12" spans="1:29" ht="16.5" thickBot="1">
      <c r="A12" s="77"/>
      <c r="B12" s="122" t="s">
        <v>249</v>
      </c>
      <c r="C12" s="123"/>
      <c r="D12" s="115">
        <v>0.1</v>
      </c>
      <c r="E12" s="115"/>
      <c r="F12" s="115"/>
      <c r="G12" s="115">
        <f>D12+0.05</f>
        <v>0.15000000000000002</v>
      </c>
      <c r="H12" s="115">
        <f t="shared" si="1"/>
        <v>0.21666666666666667</v>
      </c>
      <c r="I12" s="103" t="s">
        <v>243</v>
      </c>
      <c r="J12" s="103"/>
      <c r="K12" s="103"/>
      <c r="L12" s="103"/>
      <c r="M12" s="104"/>
      <c r="N12" s="77"/>
      <c r="O12" s="124" t="s">
        <v>250</v>
      </c>
      <c r="P12" s="125"/>
      <c r="Q12" s="126">
        <v>10.15</v>
      </c>
      <c r="R12" s="127">
        <f>SUM(R9:R11)</f>
        <v>505171</v>
      </c>
      <c r="S12" s="77"/>
      <c r="T12" s="124" t="s">
        <v>250</v>
      </c>
      <c r="U12" s="125"/>
      <c r="V12" s="126">
        <v>14.622538461538463</v>
      </c>
      <c r="W12" s="127">
        <f>SUM(W9:W11)</f>
        <v>700575.81030400004</v>
      </c>
      <c r="X12" s="76"/>
      <c r="Y12" s="124" t="s">
        <v>250</v>
      </c>
      <c r="Z12" s="128"/>
      <c r="AA12" s="126">
        <v>31.448653846153846</v>
      </c>
      <c r="AB12" s="127">
        <f>SUM(AB9:AB11)</f>
        <v>1468193.2</v>
      </c>
      <c r="AC12" s="77"/>
    </row>
    <row r="13" spans="1:29" ht="18.75">
      <c r="A13" s="77"/>
      <c r="B13" s="122" t="s">
        <v>251</v>
      </c>
      <c r="C13" s="123"/>
      <c r="D13" s="115">
        <v>0.5</v>
      </c>
      <c r="E13" s="115"/>
      <c r="F13" s="115"/>
      <c r="G13" s="115">
        <f t="shared" ref="G13:G14" si="3">D13+0.05</f>
        <v>0.55000000000000004</v>
      </c>
      <c r="H13" s="115">
        <f t="shared" si="1"/>
        <v>1.0833333333333333</v>
      </c>
      <c r="I13" s="103" t="s">
        <v>243</v>
      </c>
      <c r="J13" s="103"/>
      <c r="K13" s="103"/>
      <c r="L13" s="103"/>
      <c r="M13" s="104"/>
      <c r="N13" s="77"/>
      <c r="O13" s="129" t="s">
        <v>252</v>
      </c>
      <c r="P13" s="130"/>
      <c r="Q13" s="131">
        <f>'M2021 BLS SALARY CHART (53_PCT)'!C38</f>
        <v>0.25390000000000001</v>
      </c>
      <c r="R13" s="132">
        <f>SUM(R12)*Q13</f>
        <v>128262.91690000001</v>
      </c>
      <c r="S13" s="133"/>
      <c r="T13" s="129" t="s">
        <v>252</v>
      </c>
      <c r="U13" s="130"/>
      <c r="V13" s="131">
        <f>Q13</f>
        <v>0.25390000000000001</v>
      </c>
      <c r="W13" s="132">
        <f>SUM(W12)*V13</f>
        <v>177876.19823618562</v>
      </c>
      <c r="X13" s="133"/>
      <c r="Y13" s="129" t="s">
        <v>252</v>
      </c>
      <c r="Z13" s="130"/>
      <c r="AA13" s="131">
        <f>V13</f>
        <v>0.25390000000000001</v>
      </c>
      <c r="AB13" s="132">
        <f>SUM(AB12)*AA13</f>
        <v>372774.25348000001</v>
      </c>
      <c r="AC13" s="77"/>
    </row>
    <row r="14" spans="1:29" ht="18.75">
      <c r="A14" s="77"/>
      <c r="B14" s="122" t="s">
        <v>253</v>
      </c>
      <c r="C14" s="123"/>
      <c r="D14" s="115">
        <v>0.5</v>
      </c>
      <c r="E14" s="115"/>
      <c r="F14" s="115"/>
      <c r="G14" s="115">
        <f t="shared" si="3"/>
        <v>0.55000000000000004</v>
      </c>
      <c r="H14" s="115">
        <f t="shared" si="1"/>
        <v>1.0833333333333333</v>
      </c>
      <c r="I14" s="103" t="s">
        <v>243</v>
      </c>
      <c r="J14" s="103"/>
      <c r="K14" s="103"/>
      <c r="L14" s="103"/>
      <c r="M14" s="104"/>
      <c r="N14" s="77"/>
      <c r="O14" s="129" t="s">
        <v>254</v>
      </c>
      <c r="P14" s="134"/>
      <c r="Q14" s="131">
        <f>D26</f>
        <v>2.7811565914169036E-2</v>
      </c>
      <c r="R14" s="132">
        <f>SUM(R12:R13)*Q14</f>
        <v>17616.789132134625</v>
      </c>
      <c r="S14" s="133"/>
      <c r="T14" s="129" t="s">
        <v>254</v>
      </c>
      <c r="U14" s="134"/>
      <c r="V14" s="131">
        <f>Q14</f>
        <v>2.7811565914169036E-2</v>
      </c>
      <c r="W14" s="132">
        <f>SUM(W12:W13)*V14</f>
        <v>24431.125937949553</v>
      </c>
      <c r="X14" s="133"/>
      <c r="Y14" s="129" t="s">
        <v>254</v>
      </c>
      <c r="Z14" s="134"/>
      <c r="AA14" s="131">
        <f>Q14</f>
        <v>2.7811565914169036E-2</v>
      </c>
      <c r="AB14" s="132">
        <f>SUM(AB12:AB13)*AA14</f>
        <v>51200.187678298935</v>
      </c>
      <c r="AC14" s="77"/>
    </row>
    <row r="15" spans="1:29" ht="18.75">
      <c r="A15" s="77"/>
      <c r="B15" s="113" t="s">
        <v>255</v>
      </c>
      <c r="C15" s="114"/>
      <c r="D15" s="115">
        <v>4.2</v>
      </c>
      <c r="E15" s="115"/>
      <c r="F15" s="115"/>
      <c r="G15" s="115">
        <f>D15*1.3</f>
        <v>5.4600000000000009</v>
      </c>
      <c r="H15" s="115">
        <f t="shared" si="1"/>
        <v>9.1000000000000014</v>
      </c>
      <c r="I15" s="103" t="s">
        <v>243</v>
      </c>
      <c r="J15" s="103"/>
      <c r="K15" s="103"/>
      <c r="L15" s="103"/>
      <c r="M15" s="104"/>
      <c r="N15" s="77"/>
      <c r="O15" s="135" t="s">
        <v>256</v>
      </c>
      <c r="P15" s="136"/>
      <c r="Q15" s="137"/>
      <c r="R15" s="138">
        <f>SUM(R12:R14)</f>
        <v>651050.70603213471</v>
      </c>
      <c r="S15" s="117"/>
      <c r="T15" s="135" t="s">
        <v>256</v>
      </c>
      <c r="U15" s="136"/>
      <c r="V15" s="137"/>
      <c r="W15" s="138">
        <f>SUM(W12:W14)</f>
        <v>902883.13447813515</v>
      </c>
      <c r="X15" s="117"/>
      <c r="Y15" s="135" t="s">
        <v>256</v>
      </c>
      <c r="Z15" s="136"/>
      <c r="AA15" s="137"/>
      <c r="AB15" s="138">
        <f>SUM(AB12:AB14)</f>
        <v>1892167.6411582988</v>
      </c>
      <c r="AC15" s="77"/>
    </row>
    <row r="16" spans="1:29" ht="18.95" customHeight="1">
      <c r="A16" s="77"/>
      <c r="B16" s="139" t="s">
        <v>257</v>
      </c>
      <c r="C16" s="140"/>
      <c r="D16" s="141">
        <f>SUM(D11:D15,D17)*'M2021 BLS SALARY CHART (53_PCT)'!D56</f>
        <v>1.1511538461538462</v>
      </c>
      <c r="E16" s="141"/>
      <c r="F16" s="141"/>
      <c r="G16" s="141">
        <f>SUM(G11:G15,G17)*'M2021 BLS SALARY CHART (53_PCT)'!D56</f>
        <v>1.7125384615384616</v>
      </c>
      <c r="H16" s="141">
        <f>SUM(H11:H15,H17)*'M2021 BLS SALARY CHART (53_PCT)'!D56</f>
        <v>3.7819871794871793</v>
      </c>
      <c r="I16" s="520" t="s">
        <v>258</v>
      </c>
      <c r="J16" s="521"/>
      <c r="K16" s="521"/>
      <c r="L16" s="521"/>
      <c r="M16" s="522"/>
      <c r="N16" s="77"/>
      <c r="O16" s="121" t="str">
        <f>B23</f>
        <v>Occupancy (per FTE)</v>
      </c>
      <c r="P16" s="76"/>
      <c r="Q16" s="117">
        <f>D23</f>
        <v>8237</v>
      </c>
      <c r="R16" s="119">
        <f>(Q12-D16-D17)*Q16</f>
        <v>62591.69576923077</v>
      </c>
      <c r="S16" s="117"/>
      <c r="T16" s="121" t="str">
        <f>O16</f>
        <v>Occupancy (per FTE)</v>
      </c>
      <c r="U16" s="76"/>
      <c r="V16" s="117">
        <f>Q16</f>
        <v>8237</v>
      </c>
      <c r="W16" s="119">
        <f>(V12-G16-2.9)*V16</f>
        <v>82452.37000000001</v>
      </c>
      <c r="X16" s="117"/>
      <c r="Y16" s="121" t="str">
        <f>O16</f>
        <v>Occupancy (per FTE)</v>
      </c>
      <c r="Z16" s="76"/>
      <c r="AA16" s="117">
        <f>Q16</f>
        <v>8237</v>
      </c>
      <c r="AB16" s="119">
        <f>(AA12-H16-H17)*AA16</f>
        <v>135635.93333333335</v>
      </c>
      <c r="AC16" s="77"/>
    </row>
    <row r="17" spans="2:32" ht="15.75">
      <c r="B17" s="113" t="s">
        <v>259</v>
      </c>
      <c r="C17" s="114"/>
      <c r="D17" s="115">
        <v>1.4</v>
      </c>
      <c r="E17" s="115"/>
      <c r="F17" s="115"/>
      <c r="G17" s="115">
        <f>D17*2.5</f>
        <v>3.5</v>
      </c>
      <c r="H17" s="115">
        <f>D17/D8*H8</f>
        <v>11.2</v>
      </c>
      <c r="I17" s="103" t="s">
        <v>243</v>
      </c>
      <c r="J17" s="103"/>
      <c r="K17" s="103"/>
      <c r="L17" s="103"/>
      <c r="M17" s="104"/>
      <c r="N17" s="77"/>
      <c r="O17" s="142" t="str">
        <f>B24</f>
        <v>All Other expenses (per FTE)</v>
      </c>
      <c r="P17" s="140"/>
      <c r="Q17" s="143">
        <f>D24</f>
        <v>3822.39</v>
      </c>
      <c r="R17" s="144">
        <f>Q17*Q12</f>
        <v>38797.258500000004</v>
      </c>
      <c r="S17" s="143"/>
      <c r="T17" s="142" t="str">
        <f>O17</f>
        <v>All Other expenses (per FTE)</v>
      </c>
      <c r="U17" s="140"/>
      <c r="V17" s="143">
        <f>$D$24</f>
        <v>3822.39</v>
      </c>
      <c r="W17" s="144">
        <f>V17*V12</f>
        <v>55893.044790000007</v>
      </c>
      <c r="X17" s="143"/>
      <c r="Y17" s="142" t="str">
        <f>B24</f>
        <v>All Other expenses (per FTE)</v>
      </c>
      <c r="Z17" s="140"/>
      <c r="AA17" s="143">
        <f>$D$24</f>
        <v>3822.39</v>
      </c>
      <c r="AB17" s="144">
        <f>AA17*AA12</f>
        <v>120209.01997499999</v>
      </c>
      <c r="AC17" s="77"/>
      <c r="AD17" s="77"/>
      <c r="AE17" s="77"/>
      <c r="AF17" s="77"/>
    </row>
    <row r="18" spans="2:32" ht="15.75">
      <c r="B18" s="113" t="s">
        <v>260</v>
      </c>
      <c r="C18" s="114"/>
      <c r="D18" s="115">
        <v>0.4</v>
      </c>
      <c r="E18" s="115"/>
      <c r="F18" s="115"/>
      <c r="G18" s="115">
        <f>D18*1.3</f>
        <v>0.52</v>
      </c>
      <c r="H18" s="115">
        <f t="shared" si="1"/>
        <v>0.8666666666666667</v>
      </c>
      <c r="I18" s="103" t="s">
        <v>243</v>
      </c>
      <c r="J18" s="103"/>
      <c r="K18" s="103"/>
      <c r="L18" s="103"/>
      <c r="M18" s="104"/>
      <c r="N18" s="77"/>
      <c r="O18" s="145" t="s">
        <v>261</v>
      </c>
      <c r="P18" s="146"/>
      <c r="Q18" s="147"/>
      <c r="R18" s="148">
        <f>SUM(R15:R17)</f>
        <v>752439.66030136542</v>
      </c>
      <c r="S18" s="149"/>
      <c r="T18" s="145" t="str">
        <f>O18</f>
        <v>Total Reimbursable Exp. Excl. Admin.</v>
      </c>
      <c r="U18" s="146"/>
      <c r="V18" s="147"/>
      <c r="W18" s="148">
        <f>SUM(W15:W17)</f>
        <v>1041228.5492681351</v>
      </c>
      <c r="X18" s="149"/>
      <c r="Y18" s="145" t="str">
        <f>T18</f>
        <v>Total Reimbursable Exp. Excl. Admin.</v>
      </c>
      <c r="Z18" s="146"/>
      <c r="AA18" s="150"/>
      <c r="AB18" s="148">
        <f>SUM(AB15:AB17)</f>
        <v>2148012.5944666322</v>
      </c>
      <c r="AC18" s="77"/>
      <c r="AD18" s="77"/>
      <c r="AE18" s="77"/>
      <c r="AF18" s="77"/>
    </row>
    <row r="19" spans="2:32" ht="18.75">
      <c r="B19" s="113" t="s">
        <v>262</v>
      </c>
      <c r="C19" s="114"/>
      <c r="D19" s="115">
        <v>0.25</v>
      </c>
      <c r="E19" s="115"/>
      <c r="F19" s="115"/>
      <c r="G19" s="115">
        <f>D19*1.3</f>
        <v>0.32500000000000001</v>
      </c>
      <c r="H19" s="115">
        <f t="shared" si="1"/>
        <v>0.54166666666666663</v>
      </c>
      <c r="I19" s="103" t="s">
        <v>243</v>
      </c>
      <c r="J19" s="103"/>
      <c r="K19" s="103"/>
      <c r="L19" s="103"/>
      <c r="M19" s="104"/>
      <c r="N19" s="77"/>
      <c r="O19" s="129" t="s">
        <v>263</v>
      </c>
      <c r="P19" s="151">
        <f>D26</f>
        <v>2.7811565914169036E-2</v>
      </c>
      <c r="Q19" s="152"/>
      <c r="R19" s="153">
        <f>(R16+R17)*P19</f>
        <v>2819.7855846273815</v>
      </c>
      <c r="S19" s="149"/>
      <c r="T19" s="129" t="s">
        <v>263</v>
      </c>
      <c r="U19" s="151">
        <f>P19</f>
        <v>2.7811565914169036E-2</v>
      </c>
      <c r="V19" s="152"/>
      <c r="W19" s="153">
        <f>SUM(W16+W17)*U19</f>
        <v>3847.6026223551412</v>
      </c>
      <c r="X19" s="149"/>
      <c r="Y19" s="129" t="s">
        <v>263</v>
      </c>
      <c r="Z19" s="151">
        <f>P19</f>
        <v>2.7811565914169036E-2</v>
      </c>
      <c r="AA19" s="154"/>
      <c r="AB19" s="153">
        <f>SUM(AB16+AB17)*Z19</f>
        <v>7115.4487827422126</v>
      </c>
      <c r="AC19" s="77"/>
      <c r="AD19" s="77"/>
      <c r="AE19" s="77"/>
      <c r="AF19" s="77"/>
    </row>
    <row r="20" spans="2:32" ht="19.5" thickBot="1">
      <c r="B20" s="523" t="s">
        <v>264</v>
      </c>
      <c r="C20" s="524"/>
      <c r="D20" s="155">
        <f>SUM(D9:D19)</f>
        <v>10.151153846153846</v>
      </c>
      <c r="E20" s="155"/>
      <c r="F20" s="155"/>
      <c r="G20" s="155">
        <f>SUM(G9:G19)</f>
        <v>14.61753846153846</v>
      </c>
      <c r="H20" s="155">
        <f>SUM(H9:H19)</f>
        <v>31.448653846153846</v>
      </c>
      <c r="I20" s="94"/>
      <c r="J20" s="94"/>
      <c r="K20" s="94"/>
      <c r="L20" s="94"/>
      <c r="M20" s="95"/>
      <c r="N20" s="77"/>
      <c r="O20" s="129" t="s">
        <v>265</v>
      </c>
      <c r="P20" s="156">
        <f>D25</f>
        <v>0.12</v>
      </c>
      <c r="Q20" s="157"/>
      <c r="R20" s="158">
        <f>(R18-R14)*P20</f>
        <v>88178.744540307685</v>
      </c>
      <c r="S20" s="159"/>
      <c r="T20" s="129" t="s">
        <v>265</v>
      </c>
      <c r="U20" s="156">
        <f>P20</f>
        <v>0.12</v>
      </c>
      <c r="V20" s="157"/>
      <c r="W20" s="158">
        <f>(W18-W14)*U20</f>
        <v>122015.69079962227</v>
      </c>
      <c r="X20" s="159"/>
      <c r="Y20" s="129" t="s">
        <v>265</v>
      </c>
      <c r="Z20" s="156">
        <f>P20</f>
        <v>0.12</v>
      </c>
      <c r="AA20" s="157"/>
      <c r="AB20" s="158">
        <f>(AB18-AB14)*Z20</f>
        <v>251617.48881459999</v>
      </c>
      <c r="AC20" s="77"/>
      <c r="AD20" s="77"/>
      <c r="AE20" s="77"/>
      <c r="AF20" s="118"/>
    </row>
    <row r="21" spans="2:32" ht="17.25" thickTop="1" thickBot="1">
      <c r="B21" s="525" t="s">
        <v>266</v>
      </c>
      <c r="C21" s="526"/>
      <c r="D21" s="526"/>
      <c r="E21" s="160"/>
      <c r="F21" s="160"/>
      <c r="G21" s="161"/>
      <c r="H21" s="162"/>
      <c r="I21" s="162"/>
      <c r="J21" s="162"/>
      <c r="K21" s="162"/>
      <c r="L21" s="162"/>
      <c r="M21" s="163"/>
      <c r="N21" s="77"/>
      <c r="O21" s="121" t="s">
        <v>267</v>
      </c>
      <c r="P21" s="164"/>
      <c r="Q21" s="165"/>
      <c r="R21" s="119">
        <f>SUM(R18:R20)</f>
        <v>843438.19042630051</v>
      </c>
      <c r="S21" s="76"/>
      <c r="T21" s="121" t="str">
        <f>O21</f>
        <v>Total Annual Amount</v>
      </c>
      <c r="U21" s="164"/>
      <c r="V21" s="165"/>
      <c r="W21" s="119">
        <f>SUM(W18:W20)</f>
        <v>1167091.8426901125</v>
      </c>
      <c r="X21" s="76"/>
      <c r="Y21" s="121" t="str">
        <f>T21</f>
        <v>Total Annual Amount</v>
      </c>
      <c r="Z21" s="164"/>
      <c r="AA21" s="165"/>
      <c r="AB21" s="119">
        <f>SUM(AB18:AB20)</f>
        <v>2406745.5320639741</v>
      </c>
      <c r="AC21" s="77"/>
      <c r="AD21" s="77"/>
      <c r="AE21" s="77"/>
      <c r="AF21" s="77"/>
    </row>
    <row r="22" spans="2:32" ht="16.5" thickBot="1">
      <c r="B22" s="166" t="s">
        <v>268</v>
      </c>
      <c r="C22" s="167"/>
      <c r="D22" s="168">
        <f>'M2021 BLS SALARY CHART (53_PCT)'!C38</f>
        <v>0.25390000000000001</v>
      </c>
      <c r="E22" s="168"/>
      <c r="F22" s="168"/>
      <c r="G22" s="169" t="s">
        <v>269</v>
      </c>
      <c r="H22" s="170"/>
      <c r="I22" s="170"/>
      <c r="J22" s="170"/>
      <c r="K22" s="170"/>
      <c r="L22" s="170"/>
      <c r="M22" s="171"/>
      <c r="N22" s="77"/>
      <c r="O22" s="172" t="s">
        <v>270</v>
      </c>
      <c r="P22" s="173"/>
      <c r="Q22" s="174"/>
      <c r="R22" s="175">
        <f>R21/12+1</f>
        <v>70287.515868858376</v>
      </c>
      <c r="S22" s="77"/>
      <c r="T22" s="172" t="str">
        <f>O22</f>
        <v>Total Monthly Rate</v>
      </c>
      <c r="U22" s="173"/>
      <c r="V22" s="174"/>
      <c r="W22" s="175">
        <f>W21/12</f>
        <v>97257.653557509373</v>
      </c>
      <c r="X22" s="77"/>
      <c r="Y22" s="172" t="str">
        <f>T22</f>
        <v>Total Monthly Rate</v>
      </c>
      <c r="Z22" s="173"/>
      <c r="AA22" s="174"/>
      <c r="AB22" s="175">
        <f>AB21/12+1</f>
        <v>200563.12767199785</v>
      </c>
      <c r="AC22" s="77"/>
      <c r="AD22" s="77"/>
      <c r="AE22" s="77"/>
      <c r="AF22" s="77"/>
    </row>
    <row r="23" spans="2:32" ht="15.75">
      <c r="B23" s="176" t="s">
        <v>271</v>
      </c>
      <c r="C23" s="177"/>
      <c r="D23" s="178">
        <v>8237</v>
      </c>
      <c r="E23" s="179"/>
      <c r="F23" s="179"/>
      <c r="G23" s="180" t="s">
        <v>272</v>
      </c>
      <c r="H23" s="181"/>
      <c r="I23" s="181"/>
      <c r="J23" s="181"/>
      <c r="K23" s="181"/>
      <c r="L23" s="181"/>
      <c r="M23" s="182"/>
      <c r="N23" s="77"/>
      <c r="O23" s="76"/>
      <c r="P23" s="77"/>
      <c r="Q23" s="77"/>
      <c r="R23" s="112"/>
      <c r="S23" s="77"/>
      <c r="T23" s="77"/>
      <c r="U23" s="77"/>
      <c r="V23" s="77"/>
      <c r="W23" s="112"/>
      <c r="X23" s="77"/>
      <c r="Y23" s="77"/>
      <c r="Z23" s="77"/>
      <c r="AA23" s="77"/>
      <c r="AB23" s="112"/>
      <c r="AC23" s="77"/>
      <c r="AD23" s="77"/>
      <c r="AE23" s="77"/>
      <c r="AF23" s="77"/>
    </row>
    <row r="24" spans="2:32" ht="15.75">
      <c r="B24" s="183" t="s">
        <v>273</v>
      </c>
      <c r="C24" s="165"/>
      <c r="D24" s="184">
        <v>3822.39</v>
      </c>
      <c r="E24" s="184"/>
      <c r="F24" s="184"/>
      <c r="G24" s="517" t="s">
        <v>274</v>
      </c>
      <c r="H24" s="518"/>
      <c r="I24" s="518"/>
      <c r="J24" s="518"/>
      <c r="K24" s="518"/>
      <c r="L24" s="518"/>
      <c r="M24" s="519"/>
      <c r="N24" s="77"/>
      <c r="O24" s="77"/>
      <c r="P24" s="77"/>
      <c r="Q24" s="77"/>
      <c r="R24" s="185"/>
      <c r="S24" s="77"/>
      <c r="T24" s="77"/>
      <c r="U24" s="77"/>
      <c r="V24" s="77"/>
      <c r="W24" s="185"/>
      <c r="X24" s="77"/>
      <c r="Y24" s="77"/>
      <c r="Z24" s="77"/>
      <c r="AA24" s="77"/>
      <c r="AB24" s="185"/>
      <c r="AC24" s="77"/>
      <c r="AD24" s="77"/>
      <c r="AE24" s="77"/>
      <c r="AF24" s="77"/>
    </row>
    <row r="25" spans="2:32" ht="15" customHeight="1">
      <c r="B25" s="166" t="s">
        <v>202</v>
      </c>
      <c r="C25" s="167"/>
      <c r="D25" s="186">
        <v>0.12</v>
      </c>
      <c r="E25" s="186"/>
      <c r="F25" s="186"/>
      <c r="G25" s="169" t="s">
        <v>275</v>
      </c>
      <c r="H25" s="170"/>
      <c r="I25" s="170"/>
      <c r="J25" s="170"/>
      <c r="K25" s="170"/>
      <c r="L25" s="170"/>
      <c r="M25" s="171"/>
      <c r="N25" s="77"/>
      <c r="O25" s="112"/>
      <c r="P25" s="187"/>
      <c r="Q25" s="188"/>
      <c r="R25" s="112"/>
      <c r="S25" s="77"/>
      <c r="T25" s="77"/>
      <c r="U25" s="77"/>
      <c r="V25" s="77"/>
      <c r="W25" s="112"/>
      <c r="X25" s="77"/>
      <c r="Y25" s="77"/>
      <c r="Z25" s="77"/>
      <c r="AA25" s="77"/>
      <c r="AB25" s="112"/>
      <c r="AC25" s="77"/>
      <c r="AD25" s="77"/>
      <c r="AE25" s="77"/>
      <c r="AF25" s="77"/>
    </row>
    <row r="26" spans="2:32" ht="15.75">
      <c r="B26" s="189" t="s">
        <v>276</v>
      </c>
      <c r="C26" s="190"/>
      <c r="D26" s="191">
        <f>'CAF FALL 2022'!CI24</f>
        <v>2.7811565914169036E-2</v>
      </c>
      <c r="E26" s="192"/>
      <c r="F26" s="192"/>
      <c r="G26" s="193" t="s">
        <v>277</v>
      </c>
      <c r="H26" s="193"/>
      <c r="I26" s="193"/>
      <c r="J26" s="193"/>
      <c r="K26" s="193"/>
      <c r="L26" s="193"/>
      <c r="M26" s="194"/>
      <c r="N26" s="77"/>
      <c r="O26" s="77"/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77"/>
      <c r="AB26" s="77"/>
      <c r="AC26" s="77"/>
      <c r="AD26" s="77"/>
      <c r="AE26" s="77"/>
      <c r="AF26" s="77"/>
    </row>
    <row r="27" spans="2:32" ht="15.75">
      <c r="B27" s="189"/>
      <c r="C27" s="190"/>
      <c r="D27" s="191"/>
      <c r="E27" s="192"/>
      <c r="F27" s="192"/>
      <c r="G27" s="193"/>
      <c r="H27" s="193"/>
      <c r="I27" s="193"/>
      <c r="J27" s="193"/>
      <c r="K27" s="193"/>
      <c r="L27" s="193"/>
      <c r="M27" s="194"/>
      <c r="N27" s="77"/>
      <c r="O27" s="77"/>
      <c r="P27" s="77"/>
      <c r="Q27" s="77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77"/>
      <c r="AD27" s="77"/>
      <c r="AE27" s="77"/>
      <c r="AF27" s="77"/>
    </row>
    <row r="28" spans="2:32" ht="17.100000000000001" customHeight="1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501"/>
      <c r="P28" s="501"/>
      <c r="Q28" s="501"/>
      <c r="R28" s="501"/>
      <c r="S28" s="196"/>
      <c r="T28" s="501"/>
      <c r="U28" s="501"/>
      <c r="V28" s="501"/>
      <c r="W28" s="501"/>
      <c r="X28" s="196"/>
      <c r="Y28" s="501"/>
      <c r="Z28" s="501"/>
      <c r="AA28" s="501"/>
      <c r="AB28" s="501"/>
      <c r="AC28" s="77"/>
      <c r="AD28" s="77"/>
      <c r="AE28" s="118"/>
      <c r="AF28" s="77"/>
    </row>
    <row r="29" spans="2:32" ht="15.75">
      <c r="B29" s="19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198"/>
      <c r="P29" s="199"/>
      <c r="Q29" s="200"/>
      <c r="R29" s="201"/>
      <c r="S29" s="198"/>
      <c r="T29" s="198"/>
      <c r="U29" s="199"/>
      <c r="V29" s="200"/>
      <c r="W29" s="200"/>
      <c r="X29" s="198"/>
      <c r="Y29" s="198"/>
      <c r="Z29" s="199"/>
      <c r="AA29" s="200"/>
      <c r="AB29" s="200"/>
      <c r="AC29" s="77"/>
      <c r="AD29" s="77"/>
      <c r="AE29" s="77"/>
      <c r="AF29" s="77"/>
    </row>
    <row r="30" spans="2:32" ht="15.75">
      <c r="B30" s="19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202"/>
      <c r="N30" s="77"/>
      <c r="O30" s="198"/>
      <c r="P30" s="199"/>
      <c r="Q30" s="198"/>
      <c r="R30" s="199"/>
      <c r="S30" s="198"/>
      <c r="T30" s="198"/>
      <c r="U30" s="199"/>
      <c r="V30" s="198"/>
      <c r="W30" s="199"/>
      <c r="X30" s="198"/>
      <c r="Y30" s="198"/>
      <c r="Z30" s="199"/>
      <c r="AA30" s="198"/>
      <c r="AB30" s="199"/>
      <c r="AC30" s="77"/>
      <c r="AD30" s="77"/>
      <c r="AE30" s="77"/>
      <c r="AF30" s="77"/>
    </row>
    <row r="31" spans="2:32" ht="15.75">
      <c r="B31" s="19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202"/>
      <c r="N31" s="77"/>
      <c r="O31" s="198"/>
      <c r="P31" s="199"/>
      <c r="Q31" s="198"/>
      <c r="R31" s="199"/>
      <c r="S31" s="198"/>
      <c r="T31" s="198"/>
      <c r="U31" s="199"/>
      <c r="V31" s="198"/>
      <c r="W31" s="199"/>
      <c r="X31" s="198"/>
      <c r="Y31" s="198"/>
      <c r="Z31" s="199"/>
      <c r="AA31" s="198"/>
      <c r="AB31" s="199"/>
      <c r="AC31" s="77"/>
      <c r="AD31" s="77"/>
      <c r="AE31" s="77"/>
      <c r="AF31" s="77"/>
    </row>
    <row r="32" spans="2:32" ht="18.95" customHeight="1">
      <c r="B32" s="19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202"/>
      <c r="N32" s="77"/>
      <c r="O32" s="203"/>
      <c r="P32" s="198"/>
      <c r="Q32" s="198"/>
      <c r="R32" s="198"/>
      <c r="S32" s="204"/>
      <c r="T32" s="203"/>
      <c r="U32" s="198"/>
      <c r="V32" s="198"/>
      <c r="W32" s="198"/>
      <c r="X32" s="204"/>
      <c r="Y32" s="203"/>
      <c r="Z32" s="198"/>
      <c r="AA32" s="198"/>
      <c r="AB32" s="198"/>
      <c r="AC32" s="77"/>
      <c r="AD32" s="77"/>
      <c r="AE32" s="77"/>
      <c r="AF32" s="77"/>
    </row>
    <row r="33" spans="2:28" ht="21" customHeight="1">
      <c r="B33" s="19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200"/>
      <c r="P33" s="205"/>
      <c r="Q33" s="206"/>
      <c r="R33" s="204"/>
      <c r="S33" s="204"/>
      <c r="T33" s="200"/>
      <c r="U33" s="205"/>
      <c r="V33" s="206"/>
      <c r="W33" s="204"/>
      <c r="X33" s="204"/>
      <c r="Y33" s="200"/>
      <c r="Z33" s="205"/>
      <c r="AA33" s="206"/>
      <c r="AB33" s="204"/>
    </row>
    <row r="34" spans="2:28" ht="15.75">
      <c r="B34" s="19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200"/>
      <c r="P34" s="205"/>
      <c r="Q34" s="206"/>
      <c r="R34" s="204"/>
      <c r="S34" s="204"/>
      <c r="T34" s="200"/>
      <c r="U34" s="205"/>
      <c r="V34" s="206"/>
      <c r="W34" s="204"/>
      <c r="X34" s="204"/>
      <c r="Y34" s="200"/>
      <c r="Z34" s="205"/>
      <c r="AA34" s="206"/>
      <c r="AB34" s="204"/>
    </row>
    <row r="35" spans="2:28" ht="54" customHeight="1">
      <c r="B35" s="77"/>
      <c r="C35" s="77"/>
      <c r="D35" s="77"/>
      <c r="E35" s="77"/>
      <c r="F35" s="77"/>
      <c r="G35" s="77"/>
      <c r="H35" s="77"/>
      <c r="I35" s="77"/>
      <c r="J35" s="77"/>
      <c r="K35" s="207"/>
      <c r="L35" s="77"/>
      <c r="M35" s="77"/>
      <c r="N35" s="77"/>
      <c r="O35" s="200"/>
      <c r="P35" s="205"/>
      <c r="Q35" s="206"/>
      <c r="R35" s="204"/>
      <c r="S35" s="204"/>
      <c r="T35" s="200"/>
      <c r="U35" s="205"/>
      <c r="V35" s="206"/>
      <c r="W35" s="204"/>
      <c r="X35" s="204"/>
      <c r="Y35" s="200"/>
      <c r="Z35" s="205"/>
      <c r="AA35" s="206"/>
      <c r="AB35" s="204"/>
    </row>
    <row r="36" spans="2:28" ht="21.95" customHeight="1">
      <c r="B36" s="77"/>
      <c r="C36" s="77"/>
      <c r="D36" s="77"/>
      <c r="E36" s="77"/>
      <c r="F36" s="77"/>
      <c r="G36" s="117"/>
      <c r="H36" s="77"/>
      <c r="I36" s="117"/>
      <c r="J36" s="77"/>
      <c r="K36" s="207"/>
      <c r="L36" s="77"/>
      <c r="M36" s="77"/>
      <c r="N36" s="77"/>
      <c r="O36" s="200"/>
      <c r="P36" s="205"/>
      <c r="Q36" s="206"/>
      <c r="R36" s="204"/>
      <c r="S36" s="204"/>
      <c r="T36" s="200"/>
      <c r="U36" s="205"/>
      <c r="V36" s="206"/>
      <c r="W36" s="204"/>
      <c r="X36" s="204"/>
      <c r="Y36" s="200"/>
      <c r="Z36" s="205"/>
      <c r="AA36" s="206"/>
      <c r="AB36" s="204"/>
    </row>
    <row r="37" spans="2:28" ht="21" customHeight="1">
      <c r="B37" s="77"/>
      <c r="C37" s="77"/>
      <c r="D37" s="77"/>
      <c r="E37" s="77"/>
      <c r="F37" s="77"/>
      <c r="G37" s="117"/>
      <c r="H37" s="77"/>
      <c r="I37" s="112"/>
      <c r="J37" s="77"/>
      <c r="K37" s="207"/>
      <c r="L37" s="77"/>
      <c r="M37" s="77"/>
      <c r="N37" s="77"/>
      <c r="O37" s="200"/>
      <c r="P37" s="205"/>
      <c r="Q37" s="206"/>
      <c r="R37" s="204"/>
      <c r="S37" s="204"/>
      <c r="T37" s="200"/>
      <c r="U37" s="205"/>
      <c r="V37" s="206"/>
      <c r="W37" s="204"/>
      <c r="X37" s="204"/>
      <c r="Y37" s="200"/>
      <c r="Z37" s="205"/>
      <c r="AA37" s="206"/>
      <c r="AB37" s="204"/>
    </row>
    <row r="38" spans="2:28" ht="15.75" hidden="1">
      <c r="B38" s="77"/>
      <c r="C38" s="77"/>
      <c r="D38" s="77"/>
      <c r="E38" s="77"/>
      <c r="F38" s="77"/>
      <c r="G38" s="117"/>
      <c r="H38" s="77"/>
      <c r="I38" s="117"/>
      <c r="J38" s="77"/>
      <c r="K38" s="207"/>
      <c r="L38" s="77"/>
      <c r="M38" s="77"/>
      <c r="N38" s="77"/>
      <c r="O38" s="200"/>
      <c r="P38" s="205"/>
      <c r="Q38" s="206"/>
      <c r="R38" s="204"/>
      <c r="S38" s="204"/>
      <c r="T38" s="200"/>
      <c r="U38" s="205"/>
      <c r="V38" s="206"/>
      <c r="W38" s="204"/>
      <c r="X38" s="204"/>
      <c r="Y38" s="200"/>
      <c r="Z38" s="205"/>
      <c r="AA38" s="206"/>
      <c r="AB38" s="204"/>
    </row>
    <row r="39" spans="2:28" ht="15.75" hidden="1">
      <c r="B39" s="77"/>
      <c r="C39" s="77"/>
      <c r="D39" s="77"/>
      <c r="E39" s="77"/>
      <c r="F39" s="77"/>
      <c r="G39" s="208"/>
      <c r="H39" s="77"/>
      <c r="I39" s="77"/>
      <c r="J39" s="77"/>
      <c r="K39" s="207"/>
      <c r="L39" s="77"/>
      <c r="M39" s="77"/>
      <c r="N39" s="77"/>
      <c r="O39" s="200"/>
      <c r="P39" s="205"/>
      <c r="Q39" s="206"/>
      <c r="R39" s="204"/>
      <c r="S39" s="204"/>
      <c r="T39" s="200"/>
      <c r="U39" s="205"/>
      <c r="V39" s="206"/>
      <c r="W39" s="204"/>
      <c r="X39" s="204"/>
      <c r="Y39" s="200"/>
      <c r="Z39" s="205"/>
      <c r="AA39" s="206"/>
      <c r="AB39" s="204"/>
    </row>
    <row r="40" spans="2:28" ht="15.75" hidden="1">
      <c r="B40" s="77"/>
      <c r="C40" s="77"/>
      <c r="D40" s="77"/>
      <c r="E40" s="77"/>
      <c r="F40" s="77"/>
      <c r="G40" s="77"/>
      <c r="H40" s="77"/>
      <c r="I40" s="77"/>
      <c r="J40" s="77"/>
      <c r="K40" s="207"/>
      <c r="L40" s="77"/>
      <c r="M40" s="77"/>
      <c r="N40" s="77"/>
      <c r="O40" s="200"/>
      <c r="P40" s="205"/>
      <c r="Q40" s="206"/>
      <c r="R40" s="204"/>
      <c r="S40" s="205"/>
      <c r="T40" s="200"/>
      <c r="U40" s="205"/>
      <c r="V40" s="206"/>
      <c r="W40" s="204"/>
      <c r="X40" s="205"/>
      <c r="Y40" s="200"/>
      <c r="Z40" s="205"/>
      <c r="AA40" s="206"/>
      <c r="AB40" s="204"/>
    </row>
    <row r="41" spans="2:28" ht="15.75" hidden="1">
      <c r="B41" s="77"/>
      <c r="C41" s="77"/>
      <c r="D41" s="117"/>
      <c r="E41" s="117"/>
      <c r="F41" s="117"/>
      <c r="G41" s="117"/>
      <c r="H41" s="117"/>
      <c r="I41" s="77"/>
      <c r="J41" s="77"/>
      <c r="K41" s="117"/>
      <c r="L41" s="112"/>
      <c r="M41" s="117"/>
      <c r="N41" s="77"/>
      <c r="O41" s="200"/>
      <c r="P41" s="205"/>
      <c r="Q41" s="206"/>
      <c r="R41" s="204"/>
      <c r="S41" s="204"/>
      <c r="T41" s="200"/>
      <c r="U41" s="205"/>
      <c r="V41" s="206"/>
      <c r="W41" s="204"/>
      <c r="X41" s="204"/>
      <c r="Y41" s="200"/>
      <c r="Z41" s="205"/>
      <c r="AA41" s="206"/>
      <c r="AB41" s="204"/>
    </row>
    <row r="42" spans="2:28" ht="15.75" hidden="1">
      <c r="B42" s="77"/>
      <c r="C42" s="77"/>
      <c r="D42" s="117"/>
      <c r="E42" s="117"/>
      <c r="F42" s="117"/>
      <c r="G42" s="112"/>
      <c r="H42" s="77"/>
      <c r="I42" s="77"/>
      <c r="J42" s="77"/>
      <c r="K42" s="77"/>
      <c r="L42" s="77"/>
      <c r="M42" s="77"/>
      <c r="N42" s="77"/>
      <c r="O42" s="200"/>
      <c r="P42" s="205"/>
      <c r="Q42" s="206"/>
      <c r="R42" s="204"/>
      <c r="S42" s="209"/>
      <c r="T42" s="200"/>
      <c r="U42" s="205"/>
      <c r="V42" s="206"/>
      <c r="W42" s="204"/>
      <c r="X42" s="209"/>
      <c r="Y42" s="200"/>
      <c r="Z42" s="205"/>
      <c r="AA42" s="206"/>
      <c r="AB42" s="204"/>
    </row>
    <row r="43" spans="2:28" ht="15.75" hidden="1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200"/>
      <c r="P43" s="205"/>
      <c r="Q43" s="206"/>
      <c r="R43" s="204"/>
      <c r="S43" s="200"/>
      <c r="T43" s="200"/>
      <c r="U43" s="205"/>
      <c r="V43" s="206"/>
      <c r="W43" s="204"/>
      <c r="X43" s="200"/>
      <c r="Y43" s="200"/>
      <c r="Z43" s="205"/>
      <c r="AA43" s="206"/>
      <c r="AB43" s="204"/>
    </row>
    <row r="44" spans="2:28" ht="15.75" hidden="1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203"/>
      <c r="P44" s="203"/>
      <c r="Q44" s="210"/>
      <c r="R44" s="209"/>
      <c r="S44" s="205"/>
      <c r="T44" s="203"/>
      <c r="U44" s="203"/>
      <c r="V44" s="210"/>
      <c r="W44" s="209"/>
      <c r="X44" s="205"/>
      <c r="Y44" s="203"/>
      <c r="Z44" s="203"/>
      <c r="AA44" s="210"/>
      <c r="AB44" s="209"/>
    </row>
    <row r="45" spans="2:28" ht="15.75" hidden="1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203"/>
      <c r="P45" s="211"/>
      <c r="Q45" s="203"/>
      <c r="R45" s="200"/>
      <c r="S45" s="209"/>
      <c r="T45" s="203"/>
      <c r="U45" s="211"/>
      <c r="V45" s="203"/>
      <c r="W45" s="200"/>
      <c r="X45" s="209"/>
      <c r="Y45" s="203"/>
      <c r="Z45" s="211"/>
      <c r="AA45" s="203"/>
      <c r="AB45" s="200"/>
    </row>
    <row r="46" spans="2:28" ht="15.75" hidden="1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200"/>
      <c r="P46" s="212"/>
      <c r="Q46" s="200"/>
      <c r="R46" s="205"/>
      <c r="S46" s="209"/>
      <c r="T46" s="200"/>
      <c r="U46" s="212"/>
      <c r="V46" s="200"/>
      <c r="W46" s="205"/>
      <c r="X46" s="209"/>
      <c r="Y46" s="200"/>
      <c r="Z46" s="212"/>
      <c r="AA46" s="200"/>
      <c r="AB46" s="205"/>
    </row>
    <row r="47" spans="2:28" ht="15.75" hidden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200"/>
      <c r="P47" s="212"/>
      <c r="Q47" s="200"/>
      <c r="R47" s="205"/>
      <c r="S47" s="209"/>
      <c r="T47" s="200"/>
      <c r="U47" s="212"/>
      <c r="V47" s="200"/>
      <c r="W47" s="205"/>
      <c r="X47" s="209"/>
      <c r="Y47" s="200"/>
      <c r="Z47" s="212"/>
      <c r="AA47" s="200"/>
      <c r="AB47" s="205"/>
    </row>
    <row r="48" spans="2:28" ht="15.75" hidden="1" customHeight="1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213"/>
      <c r="P48" s="211"/>
      <c r="Q48" s="214"/>
      <c r="R48" s="209"/>
      <c r="S48" s="205"/>
      <c r="T48" s="213"/>
      <c r="U48" s="211"/>
      <c r="V48" s="214"/>
      <c r="W48" s="209"/>
      <c r="X48" s="205"/>
      <c r="Y48" s="213"/>
      <c r="Z48" s="211"/>
      <c r="AA48" s="214"/>
      <c r="AB48" s="209"/>
    </row>
    <row r="49" spans="15:28" ht="15.75" hidden="1" customHeight="1">
      <c r="O49" s="213"/>
      <c r="P49" s="211"/>
      <c r="Q49" s="214"/>
      <c r="R49" s="209"/>
      <c r="S49" s="205"/>
      <c r="T49" s="213"/>
      <c r="U49" s="211"/>
      <c r="V49" s="214"/>
      <c r="W49" s="209"/>
      <c r="X49" s="205"/>
      <c r="Y49" s="213"/>
      <c r="Z49" s="211"/>
      <c r="AA49" s="214"/>
      <c r="AB49" s="209"/>
    </row>
    <row r="50" spans="15:28" ht="15.75" hidden="1" customHeight="1">
      <c r="O50" s="200"/>
      <c r="P50" s="203"/>
      <c r="Q50" s="205"/>
      <c r="R50" s="204"/>
      <c r="S50" s="205"/>
      <c r="T50" s="200"/>
      <c r="U50" s="203"/>
      <c r="V50" s="205"/>
      <c r="W50" s="204"/>
      <c r="X50" s="205"/>
      <c r="Y50" s="200"/>
      <c r="Z50" s="203"/>
      <c r="AA50" s="205"/>
      <c r="AB50" s="215"/>
    </row>
    <row r="51" spans="15:28" ht="15.75" hidden="1" customHeight="1">
      <c r="O51" s="216"/>
      <c r="P51" s="216"/>
      <c r="Q51" s="217"/>
      <c r="R51" s="217"/>
      <c r="S51" s="217"/>
      <c r="T51" s="216"/>
      <c r="U51" s="216"/>
      <c r="V51" s="217"/>
      <c r="W51" s="218"/>
      <c r="X51" s="217"/>
      <c r="Y51" s="216"/>
      <c r="Z51" s="216"/>
      <c r="AA51" s="217"/>
      <c r="AB51" s="217"/>
    </row>
    <row r="52" spans="15:28" hidden="1">
      <c r="O52" s="203"/>
      <c r="P52" s="200"/>
      <c r="Q52" s="219"/>
      <c r="R52" s="220"/>
      <c r="S52" s="220"/>
      <c r="T52" s="203"/>
      <c r="U52" s="200"/>
      <c r="V52" s="219"/>
      <c r="W52" s="220"/>
      <c r="X52" s="220"/>
      <c r="Y52" s="203"/>
      <c r="Z52" s="200"/>
      <c r="AA52" s="221"/>
      <c r="AB52" s="220"/>
    </row>
    <row r="53" spans="15:28" hidden="1">
      <c r="O53" s="200"/>
      <c r="P53" s="222"/>
      <c r="Q53" s="200"/>
      <c r="R53" s="223"/>
      <c r="S53" s="209"/>
      <c r="T53" s="200"/>
      <c r="U53" s="222"/>
      <c r="V53" s="200"/>
      <c r="W53" s="223"/>
      <c r="X53" s="209"/>
      <c r="Y53" s="200"/>
      <c r="Z53" s="222"/>
      <c r="AA53" s="200"/>
      <c r="AB53" s="223"/>
    </row>
    <row r="54" spans="15:28" hidden="1">
      <c r="O54" s="200"/>
      <c r="P54" s="200"/>
      <c r="Q54" s="200"/>
      <c r="R54" s="205"/>
      <c r="S54" s="200"/>
      <c r="T54" s="200"/>
      <c r="U54" s="200"/>
      <c r="V54" s="200"/>
      <c r="W54" s="205"/>
      <c r="X54" s="200"/>
      <c r="Y54" s="200"/>
      <c r="Z54" s="200"/>
      <c r="AA54" s="200"/>
      <c r="AB54" s="205"/>
    </row>
    <row r="55" spans="15:28" hidden="1">
      <c r="O55" s="200"/>
      <c r="P55" s="222"/>
      <c r="Q55" s="200"/>
      <c r="R55" s="224"/>
      <c r="S55" s="203"/>
      <c r="T55" s="200"/>
      <c r="U55" s="222"/>
      <c r="V55" s="200"/>
      <c r="W55" s="224"/>
      <c r="X55" s="203"/>
      <c r="Y55" s="200"/>
      <c r="Z55" s="222"/>
      <c r="AA55" s="200"/>
      <c r="AB55" s="224"/>
    </row>
    <row r="56" spans="15:28" hidden="1">
      <c r="O56" s="200"/>
      <c r="P56" s="212"/>
      <c r="Q56" s="225"/>
      <c r="R56" s="204"/>
      <c r="S56" s="203"/>
      <c r="T56" s="200"/>
      <c r="U56" s="212"/>
      <c r="V56" s="225"/>
      <c r="W56" s="204"/>
      <c r="X56" s="203"/>
      <c r="Y56" s="200"/>
      <c r="Z56" s="212"/>
      <c r="AA56" s="225"/>
      <c r="AB56" s="204"/>
    </row>
    <row r="57" spans="15:28" hidden="1">
      <c r="O57" s="203"/>
      <c r="P57" s="212"/>
      <c r="Q57" s="200"/>
      <c r="R57" s="226"/>
      <c r="S57" s="200"/>
      <c r="T57" s="203"/>
      <c r="U57" s="212"/>
      <c r="V57" s="200"/>
      <c r="W57" s="226"/>
      <c r="X57" s="200"/>
      <c r="Y57" s="203"/>
      <c r="Z57" s="212"/>
      <c r="AA57" s="200"/>
      <c r="AB57" s="226"/>
    </row>
    <row r="58" spans="15:28" ht="15.75" hidden="1"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5:28" ht="15.75" hidden="1"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5:28" ht="15.75" hidden="1"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5:28" ht="15.75" hidden="1"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5:28" ht="15.75" hidden="1"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5:28" ht="15.75" hidden="1"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5:28" ht="15.75" hidden="1"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hidden="1"/>
    <row r="66" hidden="1"/>
    <row r="67" hidden="1"/>
    <row r="68" hidden="1"/>
    <row r="69" hidden="1"/>
    <row r="70" hidden="1"/>
    <row r="71" hidden="1"/>
  </sheetData>
  <mergeCells count="14">
    <mergeCell ref="O28:R28"/>
    <mergeCell ref="T28:W28"/>
    <mergeCell ref="Y28:AB28"/>
    <mergeCell ref="B4:M4"/>
    <mergeCell ref="O4:R4"/>
    <mergeCell ref="T4:W4"/>
    <mergeCell ref="Y4:AB4"/>
    <mergeCell ref="B5:D5"/>
    <mergeCell ref="G5:M5"/>
    <mergeCell ref="P26:Z26"/>
    <mergeCell ref="G24:M24"/>
    <mergeCell ref="I16:M16"/>
    <mergeCell ref="B20:C20"/>
    <mergeCell ref="B21:D21"/>
  </mergeCells>
  <pageMargins left="0.2" right="0.2" top="0.25" bottom="0.25" header="0.3" footer="0.3"/>
  <pageSetup scale="3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7432C-AB28-4C8C-A552-907F4091DBFD}">
  <sheetPr>
    <pageSetUpPr fitToPage="1"/>
  </sheetPr>
  <dimension ref="A1:P95"/>
  <sheetViews>
    <sheetView zoomScale="75" zoomScaleNormal="75" workbookViewId="0">
      <selection activeCell="D23" sqref="D23"/>
    </sheetView>
  </sheetViews>
  <sheetFormatPr defaultColWidth="15" defaultRowHeight="21"/>
  <cols>
    <col min="1" max="1" width="7.140625" style="228" customWidth="1"/>
    <col min="2" max="2" width="55.28515625" style="228" bestFit="1" customWidth="1"/>
    <col min="3" max="3" width="13" style="228" bestFit="1" customWidth="1"/>
    <col min="4" max="4" width="53.85546875" style="228" bestFit="1" customWidth="1"/>
    <col min="5" max="5" width="15" style="228" customWidth="1"/>
    <col min="6" max="6" width="45.5703125" style="229" bestFit="1" customWidth="1"/>
    <col min="7" max="7" width="17.5703125" style="229" customWidth="1"/>
    <col min="8" max="8" width="12.85546875" style="229" bestFit="1" customWidth="1"/>
    <col min="9" max="9" width="18.5703125" style="229" customWidth="1"/>
    <col min="10" max="10" width="12.7109375" style="230" customWidth="1"/>
    <col min="11" max="16" width="15" style="228" hidden="1" customWidth="1"/>
    <col min="17" max="16384" width="15" style="228"/>
  </cols>
  <sheetData>
    <row r="1" spans="1:10">
      <c r="A1" s="227"/>
      <c r="B1" s="227" t="s">
        <v>278</v>
      </c>
    </row>
    <row r="2" spans="1:10" ht="21.75" thickBot="1">
      <c r="B2" s="231"/>
    </row>
    <row r="3" spans="1:10" ht="21.95" customHeight="1" thickBot="1">
      <c r="B3" s="528" t="str">
        <f>'[15]Models A B C'!B4:M4</f>
        <v>MASTER DATA LOOKUP TABLE</v>
      </c>
      <c r="C3" s="529"/>
      <c r="D3" s="530"/>
      <c r="E3" s="77"/>
      <c r="F3" s="531" t="s">
        <v>279</v>
      </c>
      <c r="G3" s="532"/>
      <c r="H3" s="532"/>
      <c r="I3" s="533"/>
      <c r="J3" s="229"/>
    </row>
    <row r="4" spans="1:10" ht="21.95" customHeight="1">
      <c r="B4" s="534" t="s">
        <v>280</v>
      </c>
      <c r="C4" s="535"/>
      <c r="D4" s="232" t="s">
        <v>228</v>
      </c>
      <c r="F4" s="233" t="s">
        <v>281</v>
      </c>
      <c r="G4" s="234">
        <f>[16]BlendedModels!N6</f>
        <v>6</v>
      </c>
      <c r="H4" s="235" t="s">
        <v>282</v>
      </c>
      <c r="I4" s="236">
        <f>G4*365</f>
        <v>2190</v>
      </c>
      <c r="J4" s="229"/>
    </row>
    <row r="5" spans="1:10" ht="21.95" customHeight="1">
      <c r="B5" s="237"/>
      <c r="C5" s="238" t="s">
        <v>236</v>
      </c>
      <c r="D5" s="239"/>
      <c r="F5" s="240" t="s">
        <v>122</v>
      </c>
      <c r="G5" s="241"/>
      <c r="H5" s="241" t="s">
        <v>240</v>
      </c>
      <c r="I5" s="242" t="s">
        <v>241</v>
      </c>
      <c r="J5" s="229"/>
    </row>
    <row r="6" spans="1:10" ht="21.95" customHeight="1">
      <c r="B6" s="243" t="s">
        <v>245</v>
      </c>
      <c r="C6" s="244">
        <f>[16]BlendedModels!D21</f>
        <v>1</v>
      </c>
      <c r="D6" s="245" t="s">
        <v>258</v>
      </c>
      <c r="F6" s="116" t="s">
        <v>244</v>
      </c>
      <c r="G6" s="246"/>
      <c r="H6" s="247"/>
      <c r="I6" s="248">
        <v>72974.720000000001</v>
      </c>
      <c r="J6" s="229"/>
    </row>
    <row r="7" spans="1:10" ht="21.95" customHeight="1">
      <c r="B7" s="249" t="s">
        <v>283</v>
      </c>
      <c r="C7" s="244">
        <f>SUM([16]BlendedModels!D23:D25)</f>
        <v>1.1000000000000001</v>
      </c>
      <c r="D7" s="245" t="s">
        <v>258</v>
      </c>
      <c r="F7" s="121" t="s">
        <v>246</v>
      </c>
      <c r="G7" s="246"/>
      <c r="H7" s="247"/>
      <c r="I7" s="248">
        <v>118638.46</v>
      </c>
      <c r="J7" s="229"/>
    </row>
    <row r="8" spans="1:10" ht="21.95" customHeight="1" thickBot="1">
      <c r="B8" s="249" t="s">
        <v>284</v>
      </c>
      <c r="C8" s="244">
        <f>[16]BlendedModels!D22</f>
        <v>0.6</v>
      </c>
      <c r="D8" s="245" t="s">
        <v>258</v>
      </c>
      <c r="F8" s="121" t="s">
        <v>248</v>
      </c>
      <c r="G8" s="246"/>
      <c r="H8" s="247"/>
      <c r="I8" s="248">
        <v>198094.74</v>
      </c>
      <c r="J8" s="229"/>
    </row>
    <row r="9" spans="1:10" ht="21.95" customHeight="1" thickBot="1">
      <c r="B9" s="243" t="s">
        <v>285</v>
      </c>
      <c r="C9" s="244">
        <f>[16]BlendedModels!D26</f>
        <v>4.2</v>
      </c>
      <c r="D9" s="245" t="s">
        <v>258</v>
      </c>
      <c r="F9" s="250" t="s">
        <v>250</v>
      </c>
      <c r="G9" s="251"/>
      <c r="H9" s="252">
        <v>7.712307692307693</v>
      </c>
      <c r="I9" s="253">
        <f>SUM(I6:I8)</f>
        <v>389707.92</v>
      </c>
      <c r="J9" s="229"/>
    </row>
    <row r="10" spans="1:10" ht="21.95" customHeight="1">
      <c r="B10" s="139" t="s">
        <v>257</v>
      </c>
      <c r="C10" s="254">
        <f>C9*'M2021 BLS SALARY CHART (53_PCT)'!D56</f>
        <v>0.66230769230769226</v>
      </c>
      <c r="D10" s="245" t="s">
        <v>258</v>
      </c>
      <c r="F10" s="255" t="s">
        <v>252</v>
      </c>
      <c r="G10" s="246"/>
      <c r="H10" s="256">
        <f>C13</f>
        <v>0.25390000000000001</v>
      </c>
      <c r="I10" s="248">
        <f>I9*H10</f>
        <v>98946.840888000006</v>
      </c>
      <c r="J10" s="229"/>
    </row>
    <row r="11" spans="1:10" ht="21.95" customHeight="1">
      <c r="B11" s="243" t="s">
        <v>262</v>
      </c>
      <c r="C11" s="244">
        <f>[16]BlendedModels!D30*0.6</f>
        <v>0.15</v>
      </c>
      <c r="D11" s="245" t="s">
        <v>258</v>
      </c>
      <c r="F11" s="255" t="s">
        <v>286</v>
      </c>
      <c r="G11" s="246"/>
      <c r="H11" s="256">
        <f>C17</f>
        <v>2.7811565914169036E-2</v>
      </c>
      <c r="I11" s="248">
        <f>(I9+I10)*H11</f>
        <v>13590.254091709121</v>
      </c>
      <c r="J11" s="229"/>
    </row>
    <row r="12" spans="1:10" ht="21.95" customHeight="1">
      <c r="B12" s="536" t="s">
        <v>266</v>
      </c>
      <c r="C12" s="537"/>
      <c r="D12" s="257"/>
      <c r="F12" s="258" t="s">
        <v>256</v>
      </c>
      <c r="G12" s="259"/>
      <c r="H12" s="260"/>
      <c r="I12" s="261">
        <f>SUM(I9:I11)</f>
        <v>502245.01497970911</v>
      </c>
      <c r="J12" s="229"/>
    </row>
    <row r="13" spans="1:10" ht="21.95" customHeight="1">
      <c r="B13" s="262" t="s">
        <v>268</v>
      </c>
      <c r="C13" s="263">
        <f>'[15]Models A B C Budget'!D33</f>
        <v>0.25390000000000001</v>
      </c>
      <c r="D13" s="264" t="s">
        <v>287</v>
      </c>
      <c r="F13" s="255" t="str">
        <f>B14</f>
        <v>Occupancy (per FTE)</v>
      </c>
      <c r="G13" s="265"/>
      <c r="H13" s="246">
        <f>C14</f>
        <v>8237.2400206283419</v>
      </c>
      <c r="I13" s="266">
        <f>H13*(H9-'[15]Site Only Model Budget'!H10)</f>
        <v>58072.542145429819</v>
      </c>
      <c r="J13" s="229"/>
    </row>
    <row r="14" spans="1:10" ht="21.95" customHeight="1">
      <c r="B14" s="183" t="str">
        <f>'[15]Models A B C Budget'!B34</f>
        <v>Occupancy (per FTE)</v>
      </c>
      <c r="C14" s="267">
        <f>'[15]Models A B C Budget'!D34</f>
        <v>8237.2400206283419</v>
      </c>
      <c r="D14" s="268" t="str">
        <f>'[15]Models A B C Budget'!G34</f>
        <v>FY21 UFR Data wtg avg</v>
      </c>
      <c r="F14" s="255" t="str">
        <f>B15</f>
        <v>All Other expenses (per FTE)</v>
      </c>
      <c r="G14" s="265"/>
      <c r="H14" s="246">
        <f>C15</f>
        <v>3822.3891273763002</v>
      </c>
      <c r="I14" s="266">
        <f>H14*H9</f>
        <v>29479.441070057528</v>
      </c>
      <c r="J14" s="229"/>
    </row>
    <row r="15" spans="1:10" ht="47.25">
      <c r="B15" s="183" t="str">
        <f>'[15]Models A B C Budget'!B35</f>
        <v>All Other expenses (per FTE)</v>
      </c>
      <c r="C15" s="267">
        <f>'[15]Models A B C Budget'!D35</f>
        <v>3822.3891273763002</v>
      </c>
      <c r="D15" s="269" t="s">
        <v>288</v>
      </c>
      <c r="F15" s="258" t="s">
        <v>261</v>
      </c>
      <c r="G15" s="270"/>
      <c r="H15" s="271"/>
      <c r="I15" s="272">
        <f>SUM(I12:I14)</f>
        <v>589796.9981951965</v>
      </c>
      <c r="J15" s="229"/>
    </row>
    <row r="16" spans="1:10">
      <c r="B16" s="273" t="s">
        <v>202</v>
      </c>
      <c r="C16" s="274">
        <f>'[15]Models A B C Budget'!D36</f>
        <v>0.12</v>
      </c>
      <c r="D16" s="275" t="s">
        <v>275</v>
      </c>
      <c r="F16" s="255" t="s">
        <v>289</v>
      </c>
      <c r="G16" s="276"/>
      <c r="H16" s="277">
        <f>C17</f>
        <v>2.7811565914169036E-2</v>
      </c>
      <c r="I16" s="278">
        <f>(I13+I14)*H16</f>
        <v>2434.9577521137471</v>
      </c>
      <c r="J16" s="229"/>
    </row>
    <row r="17" spans="2:16" ht="21.95" customHeight="1" thickBot="1">
      <c r="B17" s="189" t="s">
        <v>276</v>
      </c>
      <c r="C17" s="279">
        <f>'[15]Models A B C Budget'!D37</f>
        <v>2.7811565914169036E-2</v>
      </c>
      <c r="D17" s="280" t="str">
        <f>'[15]Models A B C Budget'!G37</f>
        <v>Prospective Period FY23 &amp; FY24</v>
      </c>
      <c r="F17" s="255" t="s">
        <v>265</v>
      </c>
      <c r="G17" s="281"/>
      <c r="H17" s="281">
        <v>0.12</v>
      </c>
      <c r="I17" s="282">
        <f>(I15-I11)*H17</f>
        <v>69144.809292418475</v>
      </c>
      <c r="J17" s="229"/>
    </row>
    <row r="18" spans="2:16" ht="21.95" customHeight="1" thickTop="1" thickBot="1">
      <c r="B18" s="283"/>
      <c r="C18" s="284"/>
      <c r="D18" s="280"/>
      <c r="F18" s="285" t="s">
        <v>290</v>
      </c>
      <c r="G18" s="286"/>
      <c r="H18" s="287"/>
      <c r="I18" s="288">
        <f>SUM(I15:I17)</f>
        <v>661376.76523972861</v>
      </c>
      <c r="J18" s="229"/>
    </row>
    <row r="19" spans="2:16" ht="21.95" customHeight="1" thickBot="1">
      <c r="F19" s="289" t="s">
        <v>291</v>
      </c>
      <c r="G19" s="290"/>
      <c r="H19" s="290"/>
      <c r="I19" s="291">
        <f>I18/I4</f>
        <v>301.99852294051533</v>
      </c>
      <c r="J19" s="229"/>
    </row>
    <row r="20" spans="2:16" ht="21.95" customHeight="1">
      <c r="I20" s="292"/>
      <c r="J20" s="229"/>
    </row>
    <row r="21" spans="2:16" ht="58.5" customHeight="1">
      <c r="I21" s="293"/>
      <c r="J21" s="229"/>
    </row>
    <row r="22" spans="2:16" ht="21.95" customHeight="1">
      <c r="F22" s="294"/>
      <c r="G22" s="294"/>
      <c r="H22" s="294"/>
      <c r="I22" s="294"/>
      <c r="J22" s="229"/>
    </row>
    <row r="23" spans="2:16" ht="21.95" customHeight="1">
      <c r="J23" s="229"/>
    </row>
    <row r="24" spans="2:16" ht="21.95" customHeight="1">
      <c r="F24" s="527"/>
      <c r="G24" s="527"/>
      <c r="H24" s="527"/>
      <c r="I24" s="527"/>
      <c r="J24" s="229"/>
    </row>
    <row r="25" spans="2:16" ht="21.95" customHeight="1">
      <c r="F25" s="295"/>
      <c r="G25" s="296"/>
      <c r="H25" s="297"/>
      <c r="I25" s="298"/>
      <c r="J25" s="229"/>
    </row>
    <row r="26" spans="2:16" ht="21.95" hidden="1" customHeight="1">
      <c r="F26" s="299"/>
      <c r="G26" s="300"/>
      <c r="H26" s="300"/>
      <c r="I26" s="300"/>
      <c r="J26" s="294"/>
      <c r="K26" s="301"/>
      <c r="L26" s="301"/>
      <c r="M26" s="301"/>
      <c r="N26" s="301"/>
      <c r="O26" s="301"/>
      <c r="P26" s="301"/>
    </row>
    <row r="27" spans="2:16" ht="21.95" hidden="1" customHeight="1" thickBot="1">
      <c r="F27" s="265"/>
      <c r="G27" s="246"/>
      <c r="H27" s="247"/>
      <c r="I27" s="246"/>
      <c r="J27" s="229"/>
    </row>
    <row r="28" spans="2:16" ht="21.95" hidden="1" customHeight="1" thickBot="1">
      <c r="F28" s="265"/>
      <c r="G28" s="246"/>
      <c r="H28" s="247"/>
      <c r="I28" s="246"/>
      <c r="J28" s="229"/>
    </row>
    <row r="29" spans="2:16" ht="21.95" hidden="1" customHeight="1">
      <c r="F29" s="265"/>
      <c r="G29" s="302"/>
      <c r="H29" s="247"/>
      <c r="I29" s="246"/>
      <c r="J29" s="229"/>
    </row>
    <row r="30" spans="2:16" ht="21.95" hidden="1" customHeight="1">
      <c r="F30" s="265"/>
      <c r="G30" s="246"/>
      <c r="H30" s="247"/>
      <c r="I30" s="246"/>
      <c r="J30" s="229"/>
    </row>
    <row r="31" spans="2:16" ht="21.95" hidden="1" customHeight="1">
      <c r="F31" s="265"/>
      <c r="G31" s="246"/>
      <c r="H31" s="247"/>
      <c r="I31" s="246"/>
      <c r="J31" s="229"/>
    </row>
    <row r="32" spans="2:16" ht="21.95" hidden="1" customHeight="1">
      <c r="F32" s="265"/>
      <c r="G32" s="246"/>
      <c r="H32" s="247"/>
      <c r="I32" s="246"/>
      <c r="J32" s="229"/>
    </row>
    <row r="33" spans="6:10" ht="21.95" hidden="1" customHeight="1">
      <c r="F33" s="299"/>
      <c r="G33" s="299"/>
      <c r="H33" s="247"/>
      <c r="I33" s="303"/>
      <c r="J33" s="229"/>
    </row>
    <row r="34" spans="6:10" ht="21.95" hidden="1" customHeight="1">
      <c r="F34" s="265"/>
      <c r="G34" s="265"/>
      <c r="H34" s="304"/>
      <c r="I34" s="246"/>
      <c r="J34" s="229"/>
    </row>
    <row r="35" spans="6:10" ht="21.95" hidden="1" customHeight="1">
      <c r="F35" s="265"/>
      <c r="G35" s="265"/>
      <c r="H35" s="304"/>
      <c r="I35" s="246"/>
      <c r="J35" s="229"/>
    </row>
    <row r="36" spans="6:10" ht="21.95" hidden="1" customHeight="1">
      <c r="F36" s="299"/>
      <c r="G36" s="305"/>
      <c r="H36" s="306"/>
      <c r="I36" s="303"/>
      <c r="J36" s="229"/>
    </row>
    <row r="37" spans="6:10" ht="21.95" hidden="1" customHeight="1">
      <c r="F37" s="265"/>
      <c r="G37" s="265"/>
      <c r="H37" s="246"/>
      <c r="I37" s="307"/>
      <c r="J37" s="229"/>
    </row>
    <row r="38" spans="6:10" ht="21.95" hidden="1" customHeight="1">
      <c r="F38" s="265"/>
      <c r="G38" s="265"/>
      <c r="H38" s="246"/>
      <c r="I38" s="307"/>
      <c r="J38" s="229"/>
    </row>
    <row r="39" spans="6:10" ht="21.95" hidden="1" customHeight="1">
      <c r="F39" s="299"/>
      <c r="G39" s="265"/>
      <c r="H39" s="308"/>
      <c r="I39" s="309"/>
      <c r="J39" s="229"/>
    </row>
    <row r="40" spans="6:10" ht="21.95" hidden="1" customHeight="1">
      <c r="F40" s="265"/>
      <c r="G40" s="304"/>
      <c r="H40" s="304"/>
      <c r="I40" s="246"/>
      <c r="J40" s="229"/>
    </row>
    <row r="41" spans="6:10" ht="21.95" hidden="1" customHeight="1">
      <c r="F41" s="265"/>
      <c r="G41" s="310"/>
      <c r="H41" s="265"/>
      <c r="I41" s="246"/>
      <c r="J41" s="229"/>
    </row>
    <row r="42" spans="6:10" ht="21.95" hidden="1" customHeight="1">
      <c r="F42" s="265"/>
      <c r="G42" s="304"/>
      <c r="H42" s="256"/>
      <c r="I42" s="302"/>
      <c r="J42" s="229"/>
    </row>
    <row r="43" spans="6:10" ht="21.95" hidden="1" customHeight="1">
      <c r="F43" s="265"/>
      <c r="G43" s="265"/>
      <c r="H43" s="265"/>
      <c r="I43" s="302"/>
      <c r="J43" s="229"/>
    </row>
    <row r="44" spans="6:10" ht="21.95" hidden="1" customHeight="1" thickBot="1">
      <c r="F44" s="311"/>
      <c r="I44" s="312"/>
      <c r="J44" s="229"/>
    </row>
    <row r="45" spans="6:10" ht="21.95" hidden="1" customHeight="1" thickTop="1">
      <c r="J45" s="229"/>
    </row>
    <row r="46" spans="6:10" ht="21.95" hidden="1" customHeight="1" thickBot="1">
      <c r="J46" s="229"/>
    </row>
    <row r="47" spans="6:10" ht="21.95" hidden="1" customHeight="1" thickBot="1">
      <c r="J47" s="229"/>
    </row>
    <row r="48" spans="6:10" ht="21.95" hidden="1" customHeight="1" thickBot="1">
      <c r="J48" s="229"/>
    </row>
    <row r="49" spans="10:10" hidden="1">
      <c r="J49" s="229"/>
    </row>
    <row r="50" spans="10:10" hidden="1">
      <c r="J50" s="229"/>
    </row>
    <row r="51" spans="10:10" hidden="1">
      <c r="J51" s="229"/>
    </row>
    <row r="52" spans="10:10" hidden="1">
      <c r="J52" s="229"/>
    </row>
    <row r="53" spans="10:10" hidden="1">
      <c r="J53" s="229"/>
    </row>
    <row r="54" spans="10:10" hidden="1">
      <c r="J54" s="229"/>
    </row>
    <row r="55" spans="10:10" hidden="1">
      <c r="J55" s="229"/>
    </row>
    <row r="56" spans="10:10" hidden="1">
      <c r="J56" s="229"/>
    </row>
    <row r="57" spans="10:10" hidden="1">
      <c r="J57" s="229"/>
    </row>
    <row r="58" spans="10:10" hidden="1">
      <c r="J58" s="229"/>
    </row>
    <row r="59" spans="10:10" hidden="1">
      <c r="J59" s="229"/>
    </row>
    <row r="60" spans="10:10" hidden="1">
      <c r="J60" s="229"/>
    </row>
    <row r="61" spans="10:10" hidden="1">
      <c r="J61" s="229"/>
    </row>
    <row r="62" spans="10:10" hidden="1">
      <c r="J62" s="229"/>
    </row>
    <row r="63" spans="10:10" hidden="1">
      <c r="J63" s="229"/>
    </row>
    <row r="64" spans="10:10" hidden="1">
      <c r="J64" s="229"/>
    </row>
    <row r="65" spans="10:10" hidden="1">
      <c r="J65" s="229"/>
    </row>
    <row r="66" spans="10:10" hidden="1">
      <c r="J66" s="229"/>
    </row>
    <row r="67" spans="10:10" hidden="1">
      <c r="J67" s="229"/>
    </row>
    <row r="68" spans="10:10" hidden="1">
      <c r="J68" s="229"/>
    </row>
    <row r="69" spans="10:10" hidden="1">
      <c r="J69" s="229"/>
    </row>
    <row r="70" spans="10:10" hidden="1">
      <c r="J70" s="229"/>
    </row>
    <row r="71" spans="10:10" hidden="1">
      <c r="J71" s="229"/>
    </row>
    <row r="72" spans="10:10" hidden="1">
      <c r="J72" s="229"/>
    </row>
    <row r="73" spans="10:10" hidden="1">
      <c r="J73" s="229"/>
    </row>
    <row r="74" spans="10:10" hidden="1">
      <c r="J74" s="229"/>
    </row>
    <row r="75" spans="10:10" hidden="1">
      <c r="J75" s="229"/>
    </row>
    <row r="76" spans="10:10" hidden="1">
      <c r="J76" s="229"/>
    </row>
    <row r="77" spans="10:10" hidden="1">
      <c r="J77" s="229"/>
    </row>
    <row r="78" spans="10:10" hidden="1">
      <c r="J78" s="229"/>
    </row>
    <row r="79" spans="10:10" hidden="1">
      <c r="J79" s="229"/>
    </row>
    <row r="80" spans="10:10" hidden="1">
      <c r="J80" s="229"/>
    </row>
    <row r="81" spans="10:10" hidden="1">
      <c r="J81" s="229"/>
    </row>
    <row r="82" spans="10:10" hidden="1">
      <c r="J82" s="229"/>
    </row>
    <row r="83" spans="10:10" hidden="1">
      <c r="J83" s="229"/>
    </row>
    <row r="84" spans="10:10" hidden="1">
      <c r="J84" s="229"/>
    </row>
    <row r="85" spans="10:10" hidden="1">
      <c r="J85" s="229"/>
    </row>
    <row r="86" spans="10:10" hidden="1">
      <c r="J86" s="229"/>
    </row>
    <row r="87" spans="10:10" hidden="1">
      <c r="J87" s="229"/>
    </row>
    <row r="88" spans="10:10" hidden="1">
      <c r="J88" s="229"/>
    </row>
    <row r="89" spans="10:10" hidden="1">
      <c r="J89" s="229"/>
    </row>
    <row r="90" spans="10:10" hidden="1">
      <c r="J90" s="229"/>
    </row>
    <row r="91" spans="10:10" hidden="1">
      <c r="J91" s="229"/>
    </row>
    <row r="92" spans="10:10" hidden="1">
      <c r="J92" s="229"/>
    </row>
    <row r="93" spans="10:10" hidden="1">
      <c r="J93" s="229"/>
    </row>
    <row r="94" spans="10:10">
      <c r="J94" s="229"/>
    </row>
    <row r="95" spans="10:10">
      <c r="J95" s="229"/>
    </row>
  </sheetData>
  <mergeCells count="5">
    <mergeCell ref="F24:I24"/>
    <mergeCell ref="B3:D3"/>
    <mergeCell ref="F3:I3"/>
    <mergeCell ref="B4:C4"/>
    <mergeCell ref="B12:C12"/>
  </mergeCells>
  <pageMargins left="0.2" right="0.2" top="0.25" bottom="0.25" header="0.3" footer="0.3"/>
  <pageSetup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621DC-4690-4715-8E87-6B9FF27EEEA8}">
  <sheetPr>
    <pageSetUpPr fitToPage="1"/>
  </sheetPr>
  <dimension ref="A1:AF75"/>
  <sheetViews>
    <sheetView zoomScale="75" zoomScaleNormal="75" workbookViewId="0">
      <selection activeCell="G24" sqref="G24"/>
    </sheetView>
  </sheetViews>
  <sheetFormatPr defaultColWidth="8.7109375" defaultRowHeight="15"/>
  <cols>
    <col min="1" max="1" width="4.28515625" customWidth="1"/>
    <col min="2" max="2" width="43" customWidth="1"/>
    <col min="3" max="3" width="11" bestFit="1" customWidth="1"/>
    <col min="4" max="4" width="13.140625" customWidth="1"/>
    <col min="5" max="5" width="10.28515625" customWidth="1"/>
    <col min="6" max="6" width="13.42578125" customWidth="1"/>
    <col min="7" max="7" width="5.140625" customWidth="1"/>
    <col min="8" max="8" width="19.85546875" customWidth="1"/>
    <col min="9" max="9" width="9.28515625" customWidth="1"/>
    <col min="10" max="10" width="40.85546875" customWidth="1"/>
    <col min="11" max="11" width="18.42578125" customWidth="1"/>
    <col min="12" max="12" width="14.85546875" customWidth="1"/>
    <col min="13" max="13" width="16.5703125" customWidth="1"/>
    <col min="14" max="14" width="14.140625" customWidth="1"/>
    <col min="15" max="15" width="10.42578125" customWidth="1"/>
    <col min="16" max="16" width="8.85546875" bestFit="1" customWidth="1"/>
    <col min="17" max="17" width="11.28515625" customWidth="1"/>
    <col min="18" max="18" width="9.42578125" customWidth="1"/>
    <col min="19" max="19" width="10.28515625" customWidth="1"/>
    <col min="20" max="20" width="10.85546875" customWidth="1"/>
    <col min="21" max="21" width="16.42578125" customWidth="1"/>
    <col min="22" max="22" width="15.42578125" customWidth="1"/>
    <col min="23" max="23" width="9.85546875" customWidth="1"/>
    <col min="24" max="25" width="10.42578125" customWidth="1"/>
    <col min="26" max="27" width="11.140625" customWidth="1"/>
    <col min="28" max="28" width="9.85546875" customWidth="1"/>
    <col min="29" max="29" width="10.7109375" customWidth="1"/>
    <col min="30" max="30" width="9" customWidth="1"/>
    <col min="32" max="32" width="10" bestFit="1" customWidth="1"/>
    <col min="33" max="33" width="9.140625" bestFit="1" customWidth="1"/>
  </cols>
  <sheetData>
    <row r="1" spans="1:32" ht="33" customHeight="1">
      <c r="A1" s="227"/>
      <c r="B1" s="227" t="s">
        <v>292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313"/>
      <c r="P1" s="313"/>
      <c r="Q1" s="314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228"/>
      <c r="AE1" s="315"/>
      <c r="AF1" s="315"/>
    </row>
    <row r="2" spans="1:32" ht="15.75" customHeight="1" thickBot="1">
      <c r="A2" s="228"/>
      <c r="B2" s="231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314"/>
      <c r="Q2" s="313"/>
      <c r="R2" s="313"/>
      <c r="S2" s="314"/>
      <c r="T2" s="313"/>
      <c r="U2" s="313"/>
      <c r="V2" s="313"/>
      <c r="W2" s="228"/>
      <c r="X2" s="228"/>
      <c r="Y2" s="228"/>
      <c r="Z2" s="228"/>
      <c r="AA2" s="228"/>
      <c r="AB2" s="228"/>
      <c r="AC2" s="228"/>
      <c r="AD2" s="228"/>
      <c r="AE2" s="228"/>
      <c r="AF2" s="228"/>
    </row>
    <row r="3" spans="1:32" s="227" customFormat="1" ht="21.75" thickBot="1">
      <c r="B3" s="541" t="str">
        <f>'[15]Models A B C'!B4:M4</f>
        <v>MASTER DATA LOOKUP TABLE</v>
      </c>
      <c r="C3" s="542"/>
      <c r="D3" s="542"/>
      <c r="E3" s="542"/>
      <c r="F3" s="542"/>
      <c r="G3" s="542"/>
      <c r="H3" s="543"/>
      <c r="I3" s="228"/>
      <c r="J3" s="531" t="s">
        <v>293</v>
      </c>
      <c r="K3" s="532"/>
      <c r="L3" s="532"/>
      <c r="M3" s="533"/>
      <c r="P3" s="316"/>
      <c r="Q3" s="316"/>
      <c r="R3" s="316"/>
      <c r="S3" s="317"/>
      <c r="T3" s="318"/>
      <c r="U3" s="313"/>
      <c r="V3" s="313"/>
      <c r="W3" s="313"/>
    </row>
    <row r="4" spans="1:32" ht="20.100000000000001" customHeight="1" thickBot="1">
      <c r="A4" s="228"/>
      <c r="B4" s="544" t="s">
        <v>225</v>
      </c>
      <c r="C4" s="535"/>
      <c r="D4" s="545" t="s">
        <v>228</v>
      </c>
      <c r="E4" s="546"/>
      <c r="F4" s="546"/>
      <c r="G4" s="546"/>
      <c r="H4" s="547"/>
      <c r="I4" s="228"/>
      <c r="J4" s="319" t="s">
        <v>294</v>
      </c>
      <c r="K4" s="320">
        <v>3</v>
      </c>
      <c r="L4" s="290"/>
      <c r="M4" s="321"/>
      <c r="N4" s="228"/>
      <c r="O4" s="227"/>
      <c r="P4" s="227"/>
      <c r="Q4" s="322"/>
      <c r="R4" s="323"/>
      <c r="S4" s="324"/>
      <c r="T4" s="325"/>
      <c r="U4" s="325"/>
      <c r="V4" s="313"/>
      <c r="W4" s="313"/>
      <c r="X4" s="228"/>
      <c r="Y4" s="228"/>
      <c r="Z4" s="228"/>
      <c r="AA4" s="228"/>
      <c r="AB4" s="228"/>
      <c r="AC4" s="228"/>
      <c r="AD4" s="228"/>
      <c r="AE4" s="228"/>
      <c r="AF4" s="228"/>
    </row>
    <row r="5" spans="1:32" ht="20.100000000000001" customHeight="1" thickBot="1">
      <c r="A5" s="228"/>
      <c r="B5" s="326"/>
      <c r="C5" s="238" t="s">
        <v>236</v>
      </c>
      <c r="D5" s="548"/>
      <c r="E5" s="549"/>
      <c r="F5" s="549"/>
      <c r="G5" s="327"/>
      <c r="H5" s="328"/>
      <c r="I5" s="77"/>
      <c r="J5" s="329" t="s">
        <v>295</v>
      </c>
      <c r="K5" s="330">
        <v>5</v>
      </c>
      <c r="L5" s="331"/>
      <c r="M5" s="332"/>
      <c r="N5" s="228"/>
      <c r="O5" s="227"/>
      <c r="P5" s="227"/>
      <c r="Q5" s="322"/>
      <c r="R5" s="323"/>
      <c r="S5" s="324"/>
      <c r="T5" s="325"/>
      <c r="U5" s="325"/>
      <c r="V5" s="313"/>
      <c r="W5" s="313"/>
      <c r="X5" s="228"/>
      <c r="Y5" s="228"/>
      <c r="Z5" s="228"/>
      <c r="AA5" s="228"/>
      <c r="AB5" s="228"/>
      <c r="AC5" s="228"/>
      <c r="AD5" s="228"/>
      <c r="AE5" s="228"/>
      <c r="AF5" s="228"/>
    </row>
    <row r="6" spans="1:32" s="227" customFormat="1" ht="20.100000000000001" customHeight="1" thickBot="1">
      <c r="B6" s="121" t="s">
        <v>242</v>
      </c>
      <c r="C6" s="207">
        <v>0.05</v>
      </c>
      <c r="D6" s="333" t="s">
        <v>243</v>
      </c>
      <c r="E6" s="334"/>
      <c r="F6" s="334"/>
      <c r="G6" s="334"/>
      <c r="H6" s="335"/>
      <c r="I6" s="77"/>
      <c r="J6" s="329" t="s">
        <v>234</v>
      </c>
      <c r="K6" s="330">
        <v>4</v>
      </c>
      <c r="L6" s="336" t="s">
        <v>296</v>
      </c>
      <c r="M6" s="337">
        <f>K6*365</f>
        <v>1460</v>
      </c>
      <c r="Q6" s="322"/>
      <c r="R6" s="323"/>
      <c r="S6" s="324"/>
      <c r="W6" s="313"/>
    </row>
    <row r="7" spans="1:32" ht="20.100000000000001" customHeight="1">
      <c r="A7" s="228"/>
      <c r="B7" s="121" t="s">
        <v>245</v>
      </c>
      <c r="C7" s="244">
        <f>C26</f>
        <v>1</v>
      </c>
      <c r="D7" s="333" t="s">
        <v>243</v>
      </c>
      <c r="E7" s="117"/>
      <c r="F7" s="117"/>
      <c r="G7" s="117"/>
      <c r="H7" s="338"/>
      <c r="I7" s="77"/>
      <c r="J7" s="240" t="s">
        <v>122</v>
      </c>
      <c r="K7" s="339"/>
      <c r="L7" s="339" t="s">
        <v>240</v>
      </c>
      <c r="M7" s="242" t="s">
        <v>241</v>
      </c>
      <c r="N7" s="228"/>
      <c r="O7" s="228"/>
      <c r="P7" s="228"/>
      <c r="Q7" s="340"/>
      <c r="R7" s="341"/>
      <c r="S7" s="342"/>
      <c r="T7" s="313"/>
      <c r="U7" s="313"/>
      <c r="V7" s="313"/>
      <c r="W7" s="313"/>
      <c r="X7" s="228"/>
      <c r="Y7" s="228"/>
      <c r="Z7" s="228"/>
      <c r="AA7" s="228"/>
      <c r="AB7" s="228"/>
      <c r="AC7" s="228"/>
      <c r="AD7" s="228"/>
      <c r="AE7" s="228"/>
      <c r="AF7" s="228"/>
    </row>
    <row r="8" spans="1:32" ht="20.100000000000001" customHeight="1">
      <c r="A8" s="228"/>
      <c r="B8" s="343" t="s">
        <v>260</v>
      </c>
      <c r="C8" s="244">
        <f>C27</f>
        <v>2</v>
      </c>
      <c r="D8" s="333" t="s">
        <v>243</v>
      </c>
      <c r="E8" s="117"/>
      <c r="F8" s="117"/>
      <c r="G8" s="117"/>
      <c r="H8" s="338"/>
      <c r="I8" s="77"/>
      <c r="J8" s="255" t="s">
        <v>244</v>
      </c>
      <c r="K8" s="344"/>
      <c r="L8" s="345"/>
      <c r="M8" s="346">
        <f>'[15]Peer Model Budget'!M8+'[15]Peer Model Budget'!M9</f>
        <v>76623.456000000006</v>
      </c>
      <c r="N8" s="228"/>
      <c r="O8" s="228"/>
      <c r="P8" s="228"/>
      <c r="Q8" s="340"/>
      <c r="R8" s="341"/>
      <c r="S8" s="342"/>
      <c r="T8" s="313"/>
      <c r="U8" s="313"/>
      <c r="V8" s="313"/>
      <c r="W8" s="313"/>
      <c r="X8" s="228"/>
      <c r="Y8" s="228"/>
      <c r="Z8" s="228"/>
      <c r="AA8" s="228"/>
      <c r="AB8" s="228"/>
      <c r="AC8" s="228"/>
      <c r="AD8" s="228"/>
      <c r="AE8" s="228"/>
      <c r="AF8" s="228"/>
    </row>
    <row r="9" spans="1:32" ht="20.100000000000001" customHeight="1" thickBot="1">
      <c r="A9" s="228"/>
      <c r="B9" s="343" t="s">
        <v>255</v>
      </c>
      <c r="C9" s="244">
        <v>4</v>
      </c>
      <c r="D9" s="347" t="s">
        <v>243</v>
      </c>
      <c r="E9" s="117"/>
      <c r="F9" s="117"/>
      <c r="G9" s="117"/>
      <c r="H9" s="338"/>
      <c r="I9" s="77"/>
      <c r="J9" s="348" t="s">
        <v>248</v>
      </c>
      <c r="K9" s="349"/>
      <c r="L9" s="350"/>
      <c r="M9" s="351">
        <f>'[15]Peer Model Budget'!M10+'[15]Peer Model Budget'!M11+'[15]Peer Model Budget'!M12+'[15]Peer Model Budget'!M13</f>
        <v>271939.44960000005</v>
      </c>
      <c r="N9" s="228"/>
      <c r="O9" s="228"/>
      <c r="P9" s="228"/>
      <c r="Q9" s="340"/>
      <c r="R9" s="341"/>
      <c r="S9" s="342"/>
      <c r="T9" s="313"/>
      <c r="U9" s="313"/>
      <c r="V9" s="313"/>
      <c r="W9" s="313"/>
      <c r="X9" s="228"/>
      <c r="Y9" s="228"/>
      <c r="Z9" s="228"/>
      <c r="AA9" s="228"/>
      <c r="AB9" s="228"/>
      <c r="AC9" s="228"/>
      <c r="AD9" s="228"/>
      <c r="AE9" s="228"/>
      <c r="AF9" s="228"/>
    </row>
    <row r="10" spans="1:32" ht="20.100000000000001" customHeight="1" thickBot="1">
      <c r="A10" s="228"/>
      <c r="B10" s="343" t="s">
        <v>257</v>
      </c>
      <c r="C10" s="244">
        <f>C9*'M2021 BLS SALARY CHART (53_PCT)'!D56</f>
        <v>0.63076923076923075</v>
      </c>
      <c r="D10" s="538" t="s">
        <v>243</v>
      </c>
      <c r="E10" s="539"/>
      <c r="F10" s="539"/>
      <c r="G10" s="539"/>
      <c r="H10" s="540"/>
      <c r="I10" s="77"/>
      <c r="J10" s="352" t="s">
        <v>250</v>
      </c>
      <c r="K10" s="353"/>
      <c r="L10" s="354">
        <v>7.9307692307692301</v>
      </c>
      <c r="M10" s="355">
        <f>SUM(M8:M9)</f>
        <v>348562.90560000006</v>
      </c>
      <c r="N10" s="228"/>
      <c r="O10" s="228"/>
      <c r="P10" s="228"/>
      <c r="Q10" s="340"/>
      <c r="R10" s="341"/>
      <c r="S10" s="342"/>
      <c r="T10" s="313"/>
      <c r="U10" s="313"/>
      <c r="V10" s="313"/>
      <c r="W10" s="313"/>
      <c r="X10" s="228"/>
      <c r="Y10" s="228"/>
      <c r="Z10" s="228"/>
      <c r="AA10" s="228"/>
      <c r="AB10" s="228"/>
      <c r="AC10" s="228"/>
      <c r="AD10" s="228"/>
      <c r="AE10" s="228"/>
      <c r="AF10" s="228"/>
    </row>
    <row r="11" spans="1:32" ht="20.100000000000001" customHeight="1">
      <c r="A11" s="228"/>
      <c r="B11" s="343" t="s">
        <v>262</v>
      </c>
      <c r="C11" s="244">
        <v>0.25</v>
      </c>
      <c r="D11" s="356" t="s">
        <v>243</v>
      </c>
      <c r="E11" s="357"/>
      <c r="F11" s="357"/>
      <c r="G11" s="357"/>
      <c r="H11" s="338"/>
      <c r="I11" s="77"/>
      <c r="J11" s="255" t="s">
        <v>252</v>
      </c>
      <c r="K11" s="344"/>
      <c r="L11" s="256">
        <f>C13</f>
        <v>0.25390000000000001</v>
      </c>
      <c r="M11" s="346">
        <f>M10*L11</f>
        <v>88500.121731840016</v>
      </c>
      <c r="N11" s="228"/>
      <c r="O11" s="228"/>
      <c r="P11" s="228"/>
      <c r="Q11" s="340"/>
      <c r="R11" s="341"/>
      <c r="S11" s="342"/>
      <c r="T11" s="313"/>
      <c r="U11" s="313"/>
      <c r="V11" s="313"/>
      <c r="W11" s="313"/>
      <c r="X11" s="228"/>
      <c r="Y11" s="228"/>
      <c r="Z11" s="228"/>
      <c r="AA11" s="228"/>
      <c r="AB11" s="228"/>
      <c r="AC11" s="228"/>
      <c r="AD11" s="228"/>
      <c r="AE11" s="228"/>
      <c r="AF11" s="228"/>
    </row>
    <row r="12" spans="1:32" ht="20.100000000000001" customHeight="1">
      <c r="A12" s="228"/>
      <c r="B12" s="550" t="s">
        <v>266</v>
      </c>
      <c r="C12" s="551"/>
      <c r="D12" s="552"/>
      <c r="E12" s="553"/>
      <c r="F12" s="553"/>
      <c r="G12" s="358"/>
      <c r="H12" s="359"/>
      <c r="I12" s="77"/>
      <c r="J12" s="255" t="s">
        <v>297</v>
      </c>
      <c r="K12" s="344"/>
      <c r="L12" s="256">
        <f>C17</f>
        <v>2.7811565914169036E-2</v>
      </c>
      <c r="M12" s="346">
        <f>SUM(M10:M11)*L12</f>
        <v>12155.407193285733</v>
      </c>
      <c r="N12" s="228"/>
      <c r="O12" s="228"/>
      <c r="P12" s="228"/>
      <c r="Q12" s="340"/>
      <c r="R12" s="341"/>
      <c r="S12" s="342"/>
      <c r="T12" s="313"/>
      <c r="U12" s="313"/>
      <c r="V12" s="313"/>
      <c r="W12" s="313"/>
      <c r="X12" s="228"/>
      <c r="Y12" s="228"/>
      <c r="Z12" s="228"/>
      <c r="AA12" s="228"/>
      <c r="AB12" s="228"/>
      <c r="AC12" s="228"/>
      <c r="AD12" s="228"/>
      <c r="AE12" s="228"/>
      <c r="AF12" s="228"/>
    </row>
    <row r="13" spans="1:32" ht="20.100000000000001" customHeight="1">
      <c r="A13" s="228"/>
      <c r="B13" s="360" t="s">
        <v>268</v>
      </c>
      <c r="C13" s="361">
        <f>'[15]Models A B C Budget'!D33</f>
        <v>0.25390000000000001</v>
      </c>
      <c r="D13" s="362" t="s">
        <v>287</v>
      </c>
      <c r="E13" s="363"/>
      <c r="F13" s="363"/>
      <c r="G13" s="363"/>
      <c r="H13" s="364"/>
      <c r="I13" s="77"/>
      <c r="J13" s="258" t="s">
        <v>256</v>
      </c>
      <c r="K13" s="259"/>
      <c r="L13" s="260"/>
      <c r="M13" s="261">
        <f>SUM(M10:M12)</f>
        <v>449218.43452512578</v>
      </c>
      <c r="N13" s="228"/>
      <c r="O13" s="228"/>
      <c r="P13" s="228"/>
      <c r="Q13" s="340"/>
      <c r="R13" s="341"/>
      <c r="S13" s="342"/>
      <c r="T13" s="313"/>
      <c r="U13" s="313"/>
      <c r="V13" s="313"/>
      <c r="W13" s="313"/>
      <c r="X13" s="228"/>
      <c r="Y13" s="228"/>
      <c r="Z13" s="228"/>
      <c r="AA13" s="228"/>
      <c r="AB13" s="228"/>
      <c r="AC13" s="228"/>
      <c r="AD13" s="228"/>
      <c r="AE13" s="228"/>
      <c r="AF13" s="228"/>
    </row>
    <row r="14" spans="1:32" ht="20.100000000000001" customHeight="1">
      <c r="A14" s="228"/>
      <c r="B14" s="365" t="str">
        <f>'[15]Models A B C Budget'!B34</f>
        <v>Occupancy (per FTE)</v>
      </c>
      <c r="C14" s="366">
        <v>8237.24</v>
      </c>
      <c r="D14" s="367" t="str">
        <f>'[15]Models A B C Budget'!G34</f>
        <v>FY21 UFR Data wtg avg</v>
      </c>
      <c r="E14" s="368"/>
      <c r="F14" s="368"/>
      <c r="G14" s="368"/>
      <c r="H14" s="369"/>
      <c r="I14" s="77"/>
      <c r="J14" s="255" t="str">
        <f>B14</f>
        <v>Occupancy (per FTE)</v>
      </c>
      <c r="K14" s="370"/>
      <c r="L14" s="344">
        <f>C14</f>
        <v>8237.24</v>
      </c>
      <c r="M14" s="248">
        <f>(L10-C10)*L14</f>
        <v>60131.851999999992</v>
      </c>
      <c r="N14" s="371"/>
      <c r="O14" s="228"/>
      <c r="P14" s="228"/>
      <c r="Q14" s="340"/>
      <c r="R14" s="341"/>
      <c r="S14" s="342"/>
      <c r="T14" s="313"/>
      <c r="U14" s="313"/>
      <c r="V14" s="313"/>
      <c r="W14" s="313"/>
      <c r="X14" s="228"/>
      <c r="Y14" s="228"/>
      <c r="Z14" s="228"/>
      <c r="AA14" s="228"/>
      <c r="AB14" s="228"/>
      <c r="AC14" s="228"/>
      <c r="AD14" s="228"/>
      <c r="AE14" s="228"/>
      <c r="AF14" s="228"/>
    </row>
    <row r="15" spans="1:32" ht="54" customHeight="1">
      <c r="A15" s="228"/>
      <c r="B15" s="365" t="str">
        <f>'[15]Models A B C Budget'!B35</f>
        <v>All Other expenses (per FTE)</v>
      </c>
      <c r="C15" s="366">
        <v>3822.39</v>
      </c>
      <c r="D15" s="554" t="str">
        <f>'[15]Models A B C Budget'!G35</f>
        <v>FY21 UFR Data wtg avg (includes training, meals, travel/transportation, Client Personal and Incendential allowances &amp; Supplies and Materials</v>
      </c>
      <c r="E15" s="555"/>
      <c r="F15" s="555"/>
      <c r="G15" s="555"/>
      <c r="H15" s="556"/>
      <c r="I15" s="77"/>
      <c r="J15" s="255" t="str">
        <f>B15</f>
        <v>All Other expenses (per FTE)</v>
      </c>
      <c r="K15" s="370"/>
      <c r="L15" s="344">
        <f>C15</f>
        <v>3822.39</v>
      </c>
      <c r="M15" s="248">
        <f>L10*L15</f>
        <v>30314.492999999995</v>
      </c>
      <c r="N15" s="228"/>
      <c r="O15" s="228"/>
      <c r="P15" s="314"/>
      <c r="Q15" s="313"/>
      <c r="R15" s="341"/>
      <c r="S15" s="314"/>
      <c r="T15" s="313"/>
      <c r="U15" s="313"/>
      <c r="V15" s="313"/>
      <c r="W15" s="313"/>
      <c r="X15" s="228"/>
      <c r="Y15" s="228"/>
      <c r="Z15" s="228"/>
      <c r="AA15" s="228"/>
      <c r="AB15" s="228"/>
      <c r="AC15" s="228"/>
      <c r="AD15" s="228"/>
      <c r="AE15" s="228"/>
      <c r="AF15" s="228"/>
    </row>
    <row r="16" spans="1:32" ht="30.75" customHeight="1" thickBot="1">
      <c r="A16" s="228"/>
      <c r="B16" s="372" t="s">
        <v>202</v>
      </c>
      <c r="C16" s="373">
        <f>'[15]M2021 BLS  SALARY CHART'!D41</f>
        <v>0.12</v>
      </c>
      <c r="D16" s="356" t="s">
        <v>275</v>
      </c>
      <c r="E16" s="357"/>
      <c r="F16" s="357"/>
      <c r="G16" s="357"/>
      <c r="H16" s="374"/>
      <c r="I16" s="77"/>
      <c r="J16" s="258" t="s">
        <v>261</v>
      </c>
      <c r="K16" s="375"/>
      <c r="L16" s="271"/>
      <c r="M16" s="272">
        <f>SUM(M13:M15)</f>
        <v>539664.77952512575</v>
      </c>
      <c r="N16" s="228"/>
      <c r="O16" s="228"/>
      <c r="P16" s="314"/>
      <c r="Q16" s="313"/>
      <c r="R16" s="313"/>
      <c r="S16" s="314"/>
      <c r="T16" s="313"/>
      <c r="U16" s="313"/>
      <c r="V16" s="313"/>
      <c r="W16" s="313"/>
      <c r="X16" s="228"/>
      <c r="Y16" s="228"/>
      <c r="Z16" s="228"/>
      <c r="AA16" s="228"/>
      <c r="AB16" s="228"/>
      <c r="AC16" s="228"/>
      <c r="AD16" s="228"/>
      <c r="AE16" s="228"/>
      <c r="AF16" s="228"/>
    </row>
    <row r="17" spans="2:30" ht="20.100000000000001" customHeight="1" thickBot="1">
      <c r="B17" s="376" t="s">
        <v>276</v>
      </c>
      <c r="C17" s="377">
        <f>'[15]Models A B C Budget'!D37</f>
        <v>2.7811565914169036E-2</v>
      </c>
      <c r="D17" s="378" t="s">
        <v>277</v>
      </c>
      <c r="E17" s="174"/>
      <c r="F17" s="174"/>
      <c r="G17" s="379"/>
      <c r="H17" s="380"/>
      <c r="I17" s="77"/>
      <c r="J17" s="255" t="s">
        <v>298</v>
      </c>
      <c r="K17" s="381"/>
      <c r="L17" s="382">
        <f>C17</f>
        <v>2.7811565914169036E-2</v>
      </c>
      <c r="M17" s="383">
        <f>(M14+M15)*L17</f>
        <v>2515.4544856631728</v>
      </c>
      <c r="N17" s="228"/>
      <c r="O17" s="228"/>
      <c r="P17" s="314"/>
      <c r="Q17" s="313"/>
      <c r="R17" s="313"/>
      <c r="S17" s="314"/>
      <c r="T17" s="313"/>
      <c r="U17" s="313"/>
      <c r="V17" s="313"/>
      <c r="W17" s="313"/>
      <c r="X17" s="228"/>
      <c r="Y17" s="228"/>
      <c r="Z17" s="228"/>
      <c r="AA17" s="228"/>
      <c r="AB17" s="228"/>
      <c r="AC17" s="228"/>
      <c r="AD17" s="228"/>
    </row>
    <row r="18" spans="2:30" ht="20.100000000000001" customHeight="1" thickBot="1">
      <c r="B18" s="77"/>
      <c r="C18" s="77"/>
      <c r="D18" s="77"/>
      <c r="E18" s="77"/>
      <c r="F18" s="77"/>
      <c r="G18" s="77"/>
      <c r="H18" s="77"/>
      <c r="I18" s="77"/>
      <c r="J18" s="255" t="s">
        <v>265</v>
      </c>
      <c r="K18" s="281"/>
      <c r="L18" s="384">
        <f>C16</f>
        <v>0.12</v>
      </c>
      <c r="M18" s="282">
        <f>(M16-M12)*L18</f>
        <v>63301.124679820794</v>
      </c>
      <c r="N18" s="228"/>
      <c r="O18" s="228"/>
      <c r="P18" s="314"/>
      <c r="Q18" s="313"/>
      <c r="R18" s="313"/>
      <c r="S18" s="314"/>
      <c r="T18" s="313"/>
      <c r="U18" s="313"/>
      <c r="V18" s="313"/>
      <c r="W18" s="313"/>
      <c r="X18" s="385"/>
      <c r="Y18" s="385"/>
      <c r="Z18" s="227"/>
      <c r="AA18" s="227"/>
      <c r="AB18" s="386"/>
      <c r="AC18" s="228"/>
      <c r="AD18" s="228"/>
    </row>
    <row r="19" spans="2:30" ht="20.100000000000001" customHeight="1" thickTop="1" thickBot="1">
      <c r="B19" s="228"/>
      <c r="C19" s="228"/>
      <c r="D19" s="228"/>
      <c r="E19" s="228"/>
      <c r="F19" s="228"/>
      <c r="G19" s="228"/>
      <c r="H19" s="228"/>
      <c r="I19" s="77"/>
      <c r="J19" s="348" t="s">
        <v>267</v>
      </c>
      <c r="K19" s="387"/>
      <c r="L19" s="387"/>
      <c r="M19" s="388">
        <f>M18+M17+M16</f>
        <v>605481.35869060969</v>
      </c>
      <c r="N19" s="228"/>
      <c r="O19" s="228"/>
      <c r="P19" s="314"/>
      <c r="Q19" s="313"/>
      <c r="R19" s="313"/>
      <c r="S19" s="314"/>
      <c r="T19" s="313"/>
      <c r="U19" s="313"/>
      <c r="V19" s="313"/>
      <c r="W19" s="313"/>
      <c r="X19" s="385"/>
      <c r="Y19" s="385"/>
      <c r="Z19" s="227"/>
      <c r="AA19" s="228"/>
      <c r="AB19" s="386"/>
      <c r="AC19" s="228"/>
      <c r="AD19" s="228"/>
    </row>
    <row r="20" spans="2:30" ht="20.100000000000001" customHeight="1" thickBot="1">
      <c r="B20" s="228"/>
      <c r="C20" s="228"/>
      <c r="D20" s="228"/>
      <c r="E20" s="228"/>
      <c r="F20" s="228"/>
      <c r="G20" s="228"/>
      <c r="H20" s="228"/>
      <c r="I20" s="389"/>
      <c r="J20" s="352" t="s">
        <v>270</v>
      </c>
      <c r="K20" s="331"/>
      <c r="L20" s="331"/>
      <c r="M20" s="390">
        <f>M19/12</f>
        <v>50456.779890884143</v>
      </c>
      <c r="N20" s="228"/>
      <c r="O20" s="228"/>
      <c r="P20" s="314"/>
      <c r="Q20" s="313"/>
      <c r="R20" s="313"/>
      <c r="S20" s="314"/>
      <c r="T20" s="313"/>
      <c r="U20" s="313"/>
      <c r="V20" s="313"/>
      <c r="W20" s="313"/>
      <c r="X20" s="385"/>
      <c r="Y20" s="385"/>
      <c r="Z20" s="227"/>
      <c r="AA20" s="228"/>
      <c r="AB20" s="386"/>
      <c r="AC20" s="315"/>
      <c r="AD20" s="228"/>
    </row>
    <row r="21" spans="2:30" ht="51.75" customHeight="1">
      <c r="B21" s="228"/>
      <c r="C21" s="228"/>
      <c r="D21" s="228"/>
      <c r="E21" s="228"/>
      <c r="F21" s="228"/>
      <c r="G21" s="228"/>
      <c r="H21" s="228"/>
      <c r="I21" s="77"/>
      <c r="J21" s="391"/>
      <c r="K21" s="391"/>
      <c r="L21" s="229"/>
      <c r="M21" s="392"/>
      <c r="N21" s="228"/>
      <c r="O21" s="228"/>
      <c r="P21" s="314"/>
      <c r="Q21" s="313"/>
      <c r="R21" s="313"/>
      <c r="S21" s="314"/>
      <c r="T21" s="313"/>
      <c r="U21" s="313"/>
      <c r="V21" s="313"/>
      <c r="W21" s="313"/>
      <c r="X21" s="227"/>
      <c r="Y21" s="228"/>
      <c r="Z21" s="315"/>
      <c r="AA21" s="315"/>
      <c r="AB21" s="228"/>
      <c r="AC21" s="228"/>
      <c r="AD21" s="228"/>
    </row>
    <row r="22" spans="2:30" ht="20.100000000000001" customHeight="1">
      <c r="B22" s="393"/>
      <c r="C22" s="394"/>
      <c r="D22" s="394"/>
      <c r="E22" s="394"/>
      <c r="F22" s="394"/>
      <c r="G22" s="394"/>
      <c r="H22" s="228"/>
      <c r="I22" s="77"/>
      <c r="J22" s="391"/>
      <c r="K22" s="391"/>
      <c r="L22" s="229"/>
      <c r="M22" s="293"/>
      <c r="N22" s="228"/>
      <c r="O22" s="228"/>
      <c r="P22" s="314"/>
      <c r="Q22" s="313"/>
      <c r="R22" s="313"/>
      <c r="S22" s="314"/>
      <c r="T22" s="313"/>
      <c r="U22" s="313"/>
      <c r="V22" s="313"/>
      <c r="W22" s="228"/>
      <c r="X22" s="395"/>
      <c r="Y22" s="315"/>
      <c r="Z22" s="315"/>
      <c r="AA22" s="227"/>
      <c r="AB22" s="227"/>
      <c r="AC22" s="228"/>
      <c r="AD22" s="228"/>
    </row>
    <row r="23" spans="2:30" ht="20.100000000000001" customHeight="1">
      <c r="B23" s="393" t="s">
        <v>299</v>
      </c>
      <c r="C23" s="396" t="s">
        <v>300</v>
      </c>
      <c r="D23" s="397">
        <v>3</v>
      </c>
      <c r="E23" s="397">
        <f>D23*365</f>
        <v>1095</v>
      </c>
      <c r="F23" s="397" t="s">
        <v>301</v>
      </c>
      <c r="G23" s="397"/>
      <c r="H23" s="318"/>
      <c r="I23" s="77"/>
      <c r="J23" s="229"/>
      <c r="K23" s="229"/>
      <c r="L23" s="398"/>
      <c r="M23" s="391"/>
      <c r="N23" s="228"/>
      <c r="O23" s="371"/>
      <c r="P23" s="314"/>
      <c r="Q23" s="313"/>
      <c r="R23" s="313"/>
      <c r="S23" s="314"/>
      <c r="T23" s="313"/>
      <c r="U23" s="313"/>
      <c r="V23" s="313"/>
      <c r="W23" s="228"/>
      <c r="X23" s="395"/>
      <c r="Y23" s="315"/>
      <c r="Z23" s="315"/>
      <c r="AA23" s="228"/>
      <c r="AB23" s="228"/>
      <c r="AC23" s="228"/>
      <c r="AD23" s="228"/>
    </row>
    <row r="24" spans="2:30" ht="20.100000000000001" customHeight="1">
      <c r="B24" s="399" t="s">
        <v>302</v>
      </c>
      <c r="C24" s="557" t="s">
        <v>303</v>
      </c>
      <c r="D24" s="557"/>
      <c r="E24" s="557"/>
      <c r="F24" s="400" t="s">
        <v>304</v>
      </c>
      <c r="G24" s="401"/>
      <c r="H24" s="402"/>
      <c r="I24" s="77"/>
      <c r="J24" s="229"/>
      <c r="K24" s="229"/>
      <c r="L24" s="398"/>
      <c r="M24" s="391"/>
      <c r="N24" s="228"/>
      <c r="O24" s="228"/>
      <c r="P24" s="314"/>
      <c r="Q24" s="313"/>
      <c r="R24" s="313"/>
      <c r="S24" s="314"/>
      <c r="T24" s="313"/>
      <c r="U24" s="313"/>
      <c r="V24" s="313"/>
      <c r="W24" s="228"/>
      <c r="X24" s="228"/>
      <c r="Y24" s="315"/>
      <c r="Z24" s="315"/>
      <c r="AA24" s="228"/>
      <c r="AB24" s="228"/>
      <c r="AC24" s="228"/>
      <c r="AD24" s="228"/>
    </row>
    <row r="25" spans="2:30" ht="20.100000000000001" customHeight="1">
      <c r="B25" s="394"/>
      <c r="C25" s="396" t="s">
        <v>236</v>
      </c>
      <c r="D25" s="403" t="s">
        <v>250</v>
      </c>
      <c r="E25" s="403" t="s">
        <v>305</v>
      </c>
      <c r="F25" s="404" t="e">
        <f>C30/L13</f>
        <v>#DIV/0!</v>
      </c>
      <c r="G25" s="397"/>
      <c r="H25" s="318"/>
      <c r="I25" s="77"/>
      <c r="J25" s="229"/>
      <c r="K25" s="229"/>
      <c r="L25" s="391"/>
      <c r="M25" s="391"/>
      <c r="N25" s="228"/>
      <c r="O25" s="228"/>
      <c r="P25" s="314"/>
      <c r="Q25" s="313"/>
      <c r="R25" s="313"/>
      <c r="S25" s="314"/>
      <c r="T25" s="313"/>
      <c r="U25" s="313"/>
      <c r="V25" s="313"/>
      <c r="W25" s="227"/>
      <c r="X25" s="228"/>
      <c r="Y25" s="315"/>
      <c r="Z25" s="315"/>
      <c r="AA25" s="228"/>
      <c r="AB25" s="228"/>
      <c r="AC25" s="228"/>
      <c r="AD25" s="228"/>
    </row>
    <row r="26" spans="2:30" ht="20.100000000000001" customHeight="1">
      <c r="B26" s="405" t="s">
        <v>245</v>
      </c>
      <c r="C26" s="396">
        <v>1</v>
      </c>
      <c r="D26" s="406">
        <v>40000</v>
      </c>
      <c r="E26" s="406">
        <f>D26/C26</f>
        <v>40000</v>
      </c>
      <c r="F26" s="397"/>
      <c r="G26" s="397"/>
      <c r="H26" s="318"/>
      <c r="I26" s="77"/>
      <c r="J26" s="228"/>
      <c r="K26" s="228"/>
      <c r="L26" s="313"/>
      <c r="M26" s="313"/>
      <c r="N26" s="228"/>
      <c r="O26" s="228"/>
      <c r="P26" s="314"/>
      <c r="Q26" s="313"/>
      <c r="R26" s="313"/>
      <c r="S26" s="314"/>
      <c r="T26" s="313"/>
      <c r="U26" s="313"/>
      <c r="V26" s="313"/>
      <c r="W26" s="228"/>
      <c r="X26" s="228"/>
      <c r="Y26" s="315"/>
      <c r="Z26" s="315"/>
      <c r="AA26" s="228"/>
      <c r="AB26" s="228"/>
      <c r="AC26" s="228"/>
      <c r="AD26" s="228"/>
    </row>
    <row r="27" spans="2:30" ht="20.100000000000001" customHeight="1">
      <c r="B27" s="405" t="s">
        <v>306</v>
      </c>
      <c r="C27" s="396">
        <v>2</v>
      </c>
      <c r="D27" s="406">
        <v>62400</v>
      </c>
      <c r="E27" s="406">
        <f>D27/C27</f>
        <v>31200</v>
      </c>
      <c r="F27" s="407"/>
      <c r="G27" s="407"/>
      <c r="H27" s="314"/>
      <c r="I27" s="77"/>
      <c r="J27" s="228"/>
      <c r="K27" s="314"/>
      <c r="L27" s="313"/>
      <c r="M27" s="313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315"/>
      <c r="Z27" s="315"/>
      <c r="AA27" s="227"/>
      <c r="AB27" s="227"/>
      <c r="AC27" s="228"/>
      <c r="AD27" s="228"/>
    </row>
    <row r="28" spans="2:30" ht="15.75">
      <c r="B28" s="405" t="s">
        <v>307</v>
      </c>
      <c r="C28" s="396">
        <v>2.8</v>
      </c>
      <c r="D28" s="406">
        <v>78330</v>
      </c>
      <c r="E28" s="406">
        <f>D28/C28</f>
        <v>27975</v>
      </c>
      <c r="F28" s="406"/>
      <c r="G28" s="406"/>
      <c r="H28" s="313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314"/>
      <c r="X28" s="228"/>
      <c r="Y28" s="315"/>
      <c r="Z28" s="315"/>
      <c r="AA28" s="228"/>
      <c r="AB28" s="228"/>
      <c r="AC28" s="228"/>
      <c r="AD28" s="228"/>
    </row>
    <row r="29" spans="2:30" ht="15.75">
      <c r="B29" s="405" t="s">
        <v>262</v>
      </c>
      <c r="C29" s="396">
        <v>0.3</v>
      </c>
      <c r="D29" s="406">
        <v>10353</v>
      </c>
      <c r="E29" s="406">
        <f>D29/C29</f>
        <v>34510</v>
      </c>
      <c r="F29" s="408"/>
      <c r="G29" s="408"/>
      <c r="H29" s="317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409"/>
      <c r="X29" s="228"/>
      <c r="Y29" s="315"/>
      <c r="Z29" s="315"/>
      <c r="AA29" s="228"/>
      <c r="AB29" s="228"/>
      <c r="AC29" s="227"/>
      <c r="AD29" s="228"/>
    </row>
    <row r="30" spans="2:30" ht="15.75">
      <c r="B30" s="393"/>
      <c r="C30" s="396">
        <f>SUM(C26:C29)</f>
        <v>6.1</v>
      </c>
      <c r="D30" s="408">
        <f>SUM(D26:D29)</f>
        <v>191083</v>
      </c>
      <c r="E30" s="408"/>
      <c r="F30" s="410"/>
      <c r="G30" s="410"/>
      <c r="H30" s="411"/>
      <c r="I30" s="228"/>
      <c r="J30" s="228"/>
      <c r="K30" s="228"/>
      <c r="L30" s="228"/>
      <c r="M30" s="228"/>
      <c r="N30" s="228"/>
      <c r="O30" s="313"/>
      <c r="P30" s="313"/>
      <c r="Q30" s="314"/>
      <c r="R30" s="313"/>
      <c r="S30" s="313"/>
      <c r="T30" s="313"/>
      <c r="U30" s="313"/>
      <c r="V30" s="313"/>
      <c r="W30" s="227"/>
      <c r="X30" s="315"/>
      <c r="Y30" s="315"/>
      <c r="Z30" s="228"/>
      <c r="AA30" s="228"/>
      <c r="AB30" s="228"/>
      <c r="AC30" s="228"/>
      <c r="AD30" s="228"/>
    </row>
    <row r="31" spans="2:30" ht="15.75" hidden="1">
      <c r="B31" s="405" t="s">
        <v>308</v>
      </c>
      <c r="C31" s="412"/>
      <c r="D31" s="406">
        <v>19108.3</v>
      </c>
      <c r="E31" s="406"/>
      <c r="F31" s="408"/>
      <c r="G31" s="408"/>
      <c r="H31" s="317"/>
      <c r="I31" s="228"/>
      <c r="J31" s="228"/>
      <c r="K31" s="228"/>
      <c r="L31" s="228"/>
      <c r="M31" s="228"/>
      <c r="N31" s="228"/>
      <c r="O31" s="313"/>
      <c r="P31" s="313"/>
      <c r="Q31" s="314"/>
      <c r="R31" s="313"/>
      <c r="S31" s="313"/>
      <c r="T31" s="313"/>
      <c r="U31" s="313"/>
      <c r="V31" s="313"/>
      <c r="W31" s="228"/>
      <c r="X31" s="315"/>
      <c r="Y31" s="315"/>
      <c r="Z31" s="228"/>
      <c r="AA31" s="228"/>
      <c r="AB31" s="228"/>
      <c r="AC31" s="228"/>
      <c r="AD31" s="228"/>
    </row>
    <row r="32" spans="2:30" ht="15.75" hidden="1">
      <c r="B32" s="405" t="s">
        <v>309</v>
      </c>
      <c r="C32" s="412"/>
      <c r="D32" s="406">
        <v>22929.96</v>
      </c>
      <c r="E32" s="406"/>
      <c r="F32" s="406"/>
      <c r="G32" s="406"/>
      <c r="H32" s="313"/>
      <c r="I32" s="228"/>
      <c r="J32" s="228"/>
      <c r="K32" s="228"/>
      <c r="L32" s="228"/>
      <c r="M32" s="228"/>
      <c r="N32" s="314"/>
      <c r="O32" s="313"/>
      <c r="P32" s="313"/>
      <c r="Q32" s="314"/>
      <c r="R32" s="313"/>
      <c r="S32" s="313"/>
      <c r="T32" s="313"/>
      <c r="U32" s="313"/>
      <c r="V32" s="313"/>
      <c r="W32" s="228"/>
      <c r="X32" s="315"/>
      <c r="Y32" s="315"/>
      <c r="Z32" s="228"/>
      <c r="AA32" s="228"/>
      <c r="AB32" s="228"/>
      <c r="AC32" s="228"/>
      <c r="AD32" s="228"/>
    </row>
    <row r="33" spans="1:30" s="227" customFormat="1" ht="15.75" hidden="1">
      <c r="A33" s="228"/>
      <c r="B33" s="401" t="s">
        <v>310</v>
      </c>
      <c r="C33" s="413"/>
      <c r="D33" s="408">
        <f>D31+D32</f>
        <v>42038.259999999995</v>
      </c>
      <c r="E33" s="408"/>
      <c r="F33" s="406"/>
      <c r="G33" s="406"/>
      <c r="H33" s="313"/>
      <c r="I33" s="228"/>
      <c r="J33" s="228"/>
      <c r="K33" s="228"/>
      <c r="L33" s="228"/>
      <c r="M33" s="228"/>
      <c r="N33" s="314"/>
      <c r="U33" s="313"/>
      <c r="V33" s="313"/>
      <c r="W33" s="228"/>
      <c r="X33" s="315"/>
      <c r="Y33" s="315"/>
      <c r="Z33" s="228"/>
      <c r="AA33" s="228"/>
      <c r="AB33" s="228"/>
    </row>
    <row r="34" spans="1:30" ht="15.75" hidden="1">
      <c r="A34" s="228"/>
      <c r="B34" s="405" t="s">
        <v>311</v>
      </c>
      <c r="C34" s="407"/>
      <c r="D34" s="414">
        <f>D33/D30</f>
        <v>0.21999999999999997</v>
      </c>
      <c r="E34" s="406"/>
      <c r="F34" s="408"/>
      <c r="G34" s="408"/>
      <c r="H34" s="317"/>
      <c r="I34" s="228"/>
      <c r="J34" s="228"/>
      <c r="K34" s="228"/>
      <c r="L34" s="228"/>
      <c r="M34" s="228"/>
      <c r="N34" s="314"/>
      <c r="O34" s="314"/>
      <c r="P34" s="313"/>
      <c r="Q34" s="313"/>
      <c r="R34" s="314"/>
      <c r="S34" s="313"/>
      <c r="T34" s="313"/>
      <c r="U34" s="313"/>
      <c r="V34" s="313"/>
      <c r="W34" s="313"/>
      <c r="X34" s="228"/>
      <c r="Y34" s="315"/>
      <c r="Z34" s="315"/>
      <c r="AA34" s="228"/>
      <c r="AB34" s="228"/>
      <c r="AC34" s="228"/>
      <c r="AD34" s="228"/>
    </row>
    <row r="35" spans="1:30" ht="15" hidden="1" customHeight="1">
      <c r="A35" s="228"/>
      <c r="B35" s="394"/>
      <c r="C35" s="407"/>
      <c r="D35" s="406"/>
      <c r="E35" s="406"/>
      <c r="F35" s="406"/>
      <c r="G35" s="406"/>
      <c r="H35" s="313"/>
      <c r="I35" s="227"/>
      <c r="J35" s="228"/>
      <c r="K35" s="228"/>
      <c r="L35" s="228"/>
      <c r="M35" s="228"/>
      <c r="N35" s="415"/>
      <c r="O35" s="415"/>
      <c r="P35" s="313"/>
      <c r="Q35" s="313"/>
      <c r="R35" s="314"/>
      <c r="S35" s="313"/>
      <c r="T35" s="313"/>
      <c r="U35" s="313"/>
      <c r="V35" s="313"/>
      <c r="W35" s="313"/>
      <c r="X35" s="228"/>
      <c r="Y35" s="315"/>
      <c r="Z35" s="315"/>
      <c r="AA35" s="228"/>
      <c r="AB35" s="228"/>
      <c r="AC35" s="228"/>
      <c r="AD35" s="228"/>
    </row>
    <row r="36" spans="1:30" ht="15.75" hidden="1">
      <c r="A36" s="228"/>
      <c r="B36" s="399" t="s">
        <v>312</v>
      </c>
      <c r="C36" s="413"/>
      <c r="D36" s="408">
        <f>D30+D33</f>
        <v>233121.26</v>
      </c>
      <c r="E36" s="408"/>
      <c r="F36" s="406"/>
      <c r="G36" s="406"/>
      <c r="H36" s="313"/>
      <c r="I36" s="313"/>
      <c r="J36" s="228"/>
      <c r="K36" s="228"/>
      <c r="L36" s="228"/>
      <c r="M36" s="228"/>
      <c r="N36" s="228"/>
      <c r="O36" s="314"/>
      <c r="P36" s="313"/>
      <c r="Q36" s="313"/>
      <c r="R36" s="313"/>
      <c r="S36" s="325"/>
      <c r="T36" s="313"/>
      <c r="U36" s="313"/>
      <c r="V36" s="313"/>
      <c r="W36" s="313"/>
      <c r="X36" s="228"/>
      <c r="Y36" s="315"/>
      <c r="Z36" s="315"/>
      <c r="AA36" s="228"/>
      <c r="AB36" s="228"/>
      <c r="AC36" s="228"/>
      <c r="AD36" s="228"/>
    </row>
    <row r="37" spans="1:30" ht="15.75" hidden="1">
      <c r="A37" s="228"/>
      <c r="B37" s="394"/>
      <c r="C37" s="407"/>
      <c r="D37" s="406"/>
      <c r="E37" s="406"/>
      <c r="F37" s="406"/>
      <c r="G37" s="406"/>
      <c r="H37" s="313"/>
      <c r="I37" s="313"/>
      <c r="J37" s="228"/>
      <c r="K37" s="228"/>
      <c r="L37" s="228"/>
      <c r="M37" s="228"/>
      <c r="N37" s="227"/>
      <c r="O37" s="314"/>
      <c r="P37" s="313"/>
      <c r="Q37" s="313"/>
      <c r="R37" s="313"/>
      <c r="S37" s="325"/>
      <c r="T37" s="313"/>
      <c r="U37" s="313"/>
      <c r="V37" s="313"/>
      <c r="W37" s="313"/>
      <c r="X37" s="313"/>
      <c r="Y37" s="313"/>
      <c r="Z37" s="228"/>
      <c r="AA37" s="315"/>
      <c r="AB37" s="315"/>
      <c r="AC37" s="228"/>
      <c r="AD37" s="228"/>
    </row>
    <row r="38" spans="1:30" ht="15.75" hidden="1">
      <c r="A38" s="228"/>
      <c r="B38" s="394"/>
      <c r="C38" s="407"/>
      <c r="D38" s="406"/>
      <c r="E38" s="406"/>
      <c r="F38" s="406"/>
      <c r="G38" s="406"/>
      <c r="H38" s="406"/>
      <c r="I38" s="313"/>
      <c r="J38" s="228"/>
      <c r="K38" s="228"/>
      <c r="L38" s="228"/>
      <c r="M38" s="228"/>
      <c r="N38" s="416"/>
      <c r="O38" s="314"/>
      <c r="P38" s="313"/>
      <c r="Q38" s="313"/>
      <c r="R38" s="313"/>
      <c r="S38" s="313"/>
      <c r="T38" s="313"/>
      <c r="U38" s="313"/>
      <c r="V38" s="228"/>
      <c r="W38" s="315"/>
      <c r="X38" s="315"/>
      <c r="Y38" s="228"/>
      <c r="Z38" s="228"/>
      <c r="AA38" s="228"/>
      <c r="AB38" s="228"/>
      <c r="AC38" s="228"/>
      <c r="AD38" s="228"/>
    </row>
    <row r="39" spans="1:30" ht="15.75" hidden="1">
      <c r="A39" s="228"/>
      <c r="B39" s="401" t="s">
        <v>313</v>
      </c>
      <c r="C39" s="557" t="str">
        <f>C24</f>
        <v>WESTERN MA -1203</v>
      </c>
      <c r="D39" s="557"/>
      <c r="E39" s="557"/>
      <c r="F39" s="403" t="s">
        <v>314</v>
      </c>
      <c r="G39" s="403" t="s">
        <v>315</v>
      </c>
      <c r="H39" s="403" t="s">
        <v>316</v>
      </c>
      <c r="I39" s="314"/>
      <c r="J39" s="228"/>
      <c r="K39" s="228"/>
      <c r="L39" s="228"/>
      <c r="M39" s="228"/>
      <c r="N39" s="313"/>
      <c r="O39" s="313"/>
      <c r="P39" s="313"/>
      <c r="Q39" s="313"/>
      <c r="R39" s="313"/>
      <c r="S39" s="313"/>
      <c r="T39" s="313"/>
      <c r="U39" s="313"/>
      <c r="V39" s="228"/>
      <c r="W39" s="315"/>
      <c r="X39" s="228"/>
      <c r="Y39" s="228"/>
      <c r="Z39" s="228"/>
      <c r="AA39" s="228"/>
      <c r="AB39" s="228"/>
      <c r="AC39" s="228"/>
      <c r="AD39" s="228"/>
    </row>
    <row r="40" spans="1:30" ht="15.75" hidden="1">
      <c r="A40" s="228"/>
      <c r="B40" s="399" t="s">
        <v>317</v>
      </c>
      <c r="C40" s="407"/>
      <c r="D40" s="406">
        <v>60704</v>
      </c>
      <c r="E40" s="406"/>
      <c r="F40" s="408">
        <f t="shared" ref="F40:F46" si="0">SUM(C40:E40)</f>
        <v>60704</v>
      </c>
      <c r="G40" s="408"/>
      <c r="H40" s="408"/>
      <c r="I40" s="313"/>
      <c r="J40" s="228"/>
      <c r="K40" s="228"/>
      <c r="L40" s="228"/>
      <c r="M40" s="228"/>
      <c r="N40" s="313"/>
      <c r="O40" s="313"/>
      <c r="P40" s="313"/>
      <c r="Q40" s="313"/>
      <c r="R40" s="313"/>
      <c r="S40" s="317"/>
      <c r="T40" s="317"/>
      <c r="U40" s="313"/>
      <c r="V40" s="228"/>
      <c r="W40" s="315"/>
      <c r="X40" s="228"/>
      <c r="Y40" s="228"/>
      <c r="Z40" s="228"/>
      <c r="AA40" s="228"/>
      <c r="AB40" s="228"/>
      <c r="AC40" s="228"/>
      <c r="AD40" s="228"/>
    </row>
    <row r="41" spans="1:30" ht="15.75" hidden="1">
      <c r="A41" s="228"/>
      <c r="B41" s="399" t="s">
        <v>318</v>
      </c>
      <c r="C41" s="407"/>
      <c r="D41" s="406">
        <v>1400</v>
      </c>
      <c r="E41" s="406"/>
      <c r="F41" s="408">
        <f>SUM(C41:E41)</f>
        <v>1400</v>
      </c>
      <c r="G41" s="403">
        <f>F41/(C8+C9)</f>
        <v>233.33333333333334</v>
      </c>
      <c r="H41" s="403" t="e">
        <f>F41/L13</f>
        <v>#DIV/0!</v>
      </c>
      <c r="I41" s="317"/>
      <c r="J41" s="228"/>
      <c r="K41" s="228"/>
      <c r="L41" s="228"/>
      <c r="M41" s="228"/>
      <c r="N41" s="313"/>
      <c r="O41" s="313"/>
      <c r="P41" s="313"/>
      <c r="Q41" s="317"/>
      <c r="R41" s="313"/>
      <c r="S41" s="313"/>
      <c r="T41" s="313"/>
      <c r="U41" s="228"/>
      <c r="V41" s="315"/>
      <c r="W41" s="228"/>
      <c r="X41" s="228"/>
      <c r="Y41" s="228"/>
      <c r="Z41" s="228"/>
      <c r="AA41" s="228"/>
      <c r="AB41" s="228"/>
      <c r="AC41" s="228"/>
      <c r="AD41" s="228"/>
    </row>
    <row r="42" spans="1:30" ht="13.5" hidden="1" customHeight="1">
      <c r="A42" s="228"/>
      <c r="B42" s="399" t="s">
        <v>319</v>
      </c>
      <c r="C42" s="407"/>
      <c r="D42" s="406">
        <v>2800</v>
      </c>
      <c r="E42" s="406"/>
      <c r="F42" s="406">
        <f t="shared" si="0"/>
        <v>2800</v>
      </c>
      <c r="G42" s="417" t="s">
        <v>250</v>
      </c>
      <c r="H42" s="417"/>
      <c r="I42" s="411"/>
      <c r="J42" s="228"/>
      <c r="K42" s="228"/>
      <c r="L42" s="228"/>
      <c r="M42" s="228"/>
      <c r="N42" s="313"/>
      <c r="O42" s="313"/>
      <c r="P42" s="313"/>
      <c r="Q42" s="313"/>
      <c r="R42" s="313"/>
      <c r="S42" s="313"/>
      <c r="T42" s="313"/>
      <c r="U42" s="228"/>
      <c r="V42" s="315"/>
      <c r="W42" s="228"/>
      <c r="X42" s="228"/>
      <c r="Y42" s="228"/>
      <c r="Z42" s="228"/>
      <c r="AA42" s="228"/>
      <c r="AB42" s="228"/>
      <c r="AC42" s="228"/>
      <c r="AD42" s="228"/>
    </row>
    <row r="43" spans="1:30" ht="15.75" hidden="1">
      <c r="A43" s="228"/>
      <c r="B43" s="399" t="s">
        <v>320</v>
      </c>
      <c r="C43" s="407"/>
      <c r="D43" s="406">
        <v>5200</v>
      </c>
      <c r="E43" s="406"/>
      <c r="F43" s="406">
        <f t="shared" si="0"/>
        <v>5200</v>
      </c>
      <c r="G43" s="401" t="s">
        <v>321</v>
      </c>
      <c r="H43" s="401"/>
      <c r="I43" s="317"/>
      <c r="J43" s="228"/>
      <c r="K43" s="228"/>
      <c r="L43" s="228"/>
      <c r="M43" s="228"/>
      <c r="N43" s="317"/>
      <c r="O43" s="317"/>
      <c r="P43" s="313"/>
      <c r="Q43" s="313"/>
      <c r="R43" s="313"/>
      <c r="S43" s="313"/>
      <c r="T43" s="317"/>
      <c r="U43" s="313"/>
      <c r="V43" s="313"/>
      <c r="W43" s="313"/>
      <c r="X43" s="313"/>
      <c r="Y43" s="228"/>
      <c r="Z43" s="315"/>
      <c r="AA43" s="228"/>
      <c r="AB43" s="228"/>
      <c r="AC43" s="228"/>
      <c r="AD43" s="228"/>
    </row>
    <row r="44" spans="1:30" ht="15.75" hidden="1">
      <c r="A44" s="228"/>
      <c r="B44" s="399" t="s">
        <v>322</v>
      </c>
      <c r="C44" s="407"/>
      <c r="D44" s="406">
        <v>500</v>
      </c>
      <c r="E44" s="406"/>
      <c r="F44" s="406">
        <f t="shared" si="0"/>
        <v>500</v>
      </c>
      <c r="G44" s="405"/>
      <c r="H44" s="405"/>
      <c r="I44" s="313"/>
      <c r="J44" s="228"/>
      <c r="K44" s="228"/>
      <c r="L44" s="228"/>
      <c r="M44" s="228"/>
      <c r="N44" s="313"/>
      <c r="O44" s="313"/>
      <c r="P44" s="317"/>
      <c r="Q44" s="313"/>
      <c r="R44" s="313"/>
      <c r="S44" s="313"/>
      <c r="T44" s="313"/>
      <c r="U44" s="313"/>
      <c r="V44" s="313"/>
      <c r="W44" s="313"/>
      <c r="X44" s="313"/>
      <c r="Y44" s="228"/>
      <c r="Z44" s="315"/>
      <c r="AA44" s="228"/>
      <c r="AB44" s="228"/>
      <c r="AC44" s="228"/>
      <c r="AD44" s="228"/>
    </row>
    <row r="45" spans="1:30" ht="15.75" hidden="1">
      <c r="A45" s="228"/>
      <c r="B45" s="399" t="s">
        <v>323</v>
      </c>
      <c r="C45" s="407"/>
      <c r="D45" s="406">
        <v>2933.14</v>
      </c>
      <c r="E45" s="406"/>
      <c r="F45" s="406">
        <f t="shared" si="0"/>
        <v>2933.14</v>
      </c>
      <c r="G45" s="394"/>
      <c r="H45" s="394"/>
      <c r="I45" s="313"/>
      <c r="J45" s="228"/>
      <c r="K45" s="228"/>
      <c r="L45" s="228"/>
      <c r="M45" s="228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228"/>
      <c r="Z45" s="315"/>
      <c r="AA45" s="228"/>
      <c r="AB45" s="228"/>
      <c r="AC45" s="228"/>
      <c r="AD45" s="228"/>
    </row>
    <row r="46" spans="1:30" ht="15.75" hidden="1">
      <c r="A46" s="228"/>
      <c r="B46" s="399" t="s">
        <v>324</v>
      </c>
      <c r="C46" s="407"/>
      <c r="D46" s="406">
        <v>1025</v>
      </c>
      <c r="E46" s="406"/>
      <c r="F46" s="406">
        <f t="shared" si="0"/>
        <v>1025</v>
      </c>
      <c r="G46" s="418">
        <f>SUM(F42:F46)</f>
        <v>12458.14</v>
      </c>
      <c r="H46" s="418" t="e">
        <f>G46/L13</f>
        <v>#DIV/0!</v>
      </c>
      <c r="I46" s="228"/>
      <c r="J46" s="228"/>
      <c r="K46" s="228"/>
      <c r="L46" s="228"/>
      <c r="M46" s="228"/>
      <c r="N46" s="314"/>
      <c r="O46" s="313"/>
      <c r="P46" s="313"/>
      <c r="Q46" s="314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228"/>
      <c r="AC46" s="315"/>
      <c r="AD46" s="228"/>
    </row>
    <row r="47" spans="1:30" ht="15.75" hidden="1">
      <c r="A47" s="228"/>
      <c r="B47" s="399" t="s">
        <v>325</v>
      </c>
      <c r="C47" s="407"/>
      <c r="D47" s="406">
        <v>8100</v>
      </c>
      <c r="E47" s="406"/>
      <c r="F47" s="408">
        <f>SUM(C47:E47)</f>
        <v>8100</v>
      </c>
      <c r="G47" s="408"/>
      <c r="H47" s="403" t="e">
        <f>F47/L13</f>
        <v>#DIV/0!</v>
      </c>
      <c r="I47" s="228"/>
      <c r="J47" s="228"/>
      <c r="K47" s="228"/>
      <c r="L47" s="228"/>
      <c r="M47" s="228"/>
      <c r="N47" s="314"/>
      <c r="O47" s="313"/>
      <c r="P47" s="313"/>
      <c r="Q47" s="314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228"/>
      <c r="AC47" s="315"/>
      <c r="AD47" s="228"/>
    </row>
    <row r="48" spans="1:30" ht="15.75" hidden="1">
      <c r="A48" s="228"/>
      <c r="B48" s="399" t="s">
        <v>326</v>
      </c>
      <c r="C48" s="413"/>
      <c r="D48" s="408">
        <f>SUM(D40:D47)</f>
        <v>82662.14</v>
      </c>
      <c r="E48" s="408"/>
      <c r="F48" s="408">
        <f>SUM(F40:F47)</f>
        <v>82662.14</v>
      </c>
      <c r="G48" s="408"/>
      <c r="H48" s="408"/>
      <c r="I48" s="228"/>
      <c r="J48" s="228"/>
      <c r="K48" s="228"/>
      <c r="L48" s="228"/>
      <c r="M48" s="228"/>
      <c r="N48" s="314"/>
      <c r="O48" s="313"/>
      <c r="P48" s="313"/>
      <c r="Q48" s="314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228"/>
      <c r="AC48" s="315"/>
      <c r="AD48" s="228"/>
    </row>
    <row r="49" spans="2:30" ht="15.75" hidden="1">
      <c r="B49" s="393"/>
      <c r="C49" s="407"/>
      <c r="D49" s="406"/>
      <c r="E49" s="406"/>
      <c r="F49" s="406"/>
      <c r="G49" s="406"/>
      <c r="H49" s="406"/>
      <c r="I49" s="228"/>
      <c r="J49" s="228"/>
      <c r="K49" s="228"/>
      <c r="L49" s="228"/>
      <c r="M49" s="228"/>
      <c r="N49" s="314"/>
      <c r="O49" s="313"/>
      <c r="P49" s="313"/>
      <c r="Q49" s="314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228"/>
      <c r="AC49" s="315"/>
      <c r="AD49" s="228"/>
    </row>
    <row r="50" spans="2:30" ht="15.75" hidden="1">
      <c r="B50" s="393" t="s">
        <v>327</v>
      </c>
      <c r="C50" s="413"/>
      <c r="D50" s="408">
        <f>D48+D36</f>
        <v>315783.40000000002</v>
      </c>
      <c r="E50" s="408"/>
      <c r="F50" s="406"/>
      <c r="G50" s="406"/>
      <c r="H50" s="406"/>
      <c r="I50" s="402"/>
      <c r="J50" s="228"/>
      <c r="K50" s="228"/>
      <c r="L50" s="228"/>
      <c r="M50" s="228"/>
      <c r="N50" s="314"/>
      <c r="O50" s="313"/>
      <c r="P50" s="313"/>
      <c r="Q50" s="314"/>
      <c r="R50" s="313"/>
      <c r="S50" s="313"/>
      <c r="T50" s="313"/>
      <c r="U50" s="313"/>
      <c r="V50" s="313"/>
      <c r="W50" s="313"/>
      <c r="X50" s="317"/>
      <c r="Y50" s="313"/>
      <c r="Z50" s="313"/>
      <c r="AA50" s="313"/>
      <c r="AB50" s="228"/>
      <c r="AC50" s="315"/>
      <c r="AD50" s="228"/>
    </row>
    <row r="51" spans="2:30" ht="15.75" hidden="1">
      <c r="B51" s="393" t="s">
        <v>202</v>
      </c>
      <c r="C51" s="407"/>
      <c r="D51" s="406">
        <v>37894</v>
      </c>
      <c r="E51" s="406"/>
      <c r="F51" s="406"/>
      <c r="G51" s="406"/>
      <c r="H51" s="406"/>
      <c r="I51" s="402"/>
      <c r="J51" s="228"/>
      <c r="K51" s="228"/>
      <c r="L51" s="228"/>
      <c r="M51" s="228"/>
      <c r="N51" s="314"/>
      <c r="O51" s="313"/>
      <c r="P51" s="313"/>
      <c r="Q51" s="314"/>
      <c r="R51" s="313"/>
      <c r="S51" s="313"/>
      <c r="T51" s="313"/>
      <c r="U51" s="313"/>
      <c r="V51" s="313"/>
      <c r="W51" s="313"/>
      <c r="X51" s="317"/>
      <c r="Y51" s="313"/>
      <c r="Z51" s="313"/>
      <c r="AA51" s="313"/>
      <c r="AB51" s="228"/>
      <c r="AC51" s="315"/>
      <c r="AD51" s="228"/>
    </row>
    <row r="52" spans="2:30" ht="15.75" hidden="1">
      <c r="B52" s="405" t="s">
        <v>328</v>
      </c>
      <c r="C52" s="407"/>
      <c r="D52" s="414">
        <f>D51/D50</f>
        <v>0.1199999746661794</v>
      </c>
      <c r="E52" s="406"/>
      <c r="F52" s="406"/>
      <c r="G52" s="406"/>
      <c r="H52" s="406"/>
      <c r="I52" s="228"/>
      <c r="J52" s="228"/>
      <c r="K52" s="228"/>
      <c r="L52" s="228"/>
      <c r="M52" s="228"/>
      <c r="N52" s="314"/>
      <c r="O52" s="313"/>
      <c r="P52" s="313"/>
      <c r="Q52" s="314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228"/>
      <c r="AC52" s="315"/>
      <c r="AD52" s="315"/>
    </row>
    <row r="53" spans="2:30" ht="15.75" hidden="1">
      <c r="B53" s="399" t="s">
        <v>329</v>
      </c>
      <c r="C53" s="413"/>
      <c r="D53" s="408">
        <f>D50+D51</f>
        <v>353677.4</v>
      </c>
      <c r="E53" s="408"/>
      <c r="F53" s="406"/>
      <c r="G53" s="406"/>
      <c r="H53" s="406"/>
      <c r="I53" s="228"/>
      <c r="J53" s="228"/>
      <c r="K53" s="228"/>
      <c r="L53" s="228"/>
      <c r="M53" s="228"/>
      <c r="N53" s="314"/>
      <c r="O53" s="313"/>
      <c r="P53" s="313"/>
      <c r="Q53" s="314"/>
      <c r="R53" s="313"/>
      <c r="S53" s="313"/>
      <c r="T53" s="313"/>
      <c r="U53" s="313"/>
      <c r="V53" s="313"/>
      <c r="W53" s="313"/>
      <c r="X53" s="317"/>
      <c r="Y53" s="313"/>
      <c r="Z53" s="313"/>
      <c r="AA53" s="313"/>
      <c r="AB53" s="228"/>
      <c r="AC53" s="315"/>
      <c r="AD53" s="315"/>
    </row>
    <row r="54" spans="2:30" ht="15.75" hidden="1">
      <c r="B54" s="394"/>
      <c r="C54" s="394"/>
      <c r="D54" s="394"/>
      <c r="E54" s="394"/>
      <c r="F54" s="394"/>
      <c r="G54" s="394"/>
      <c r="H54" s="394"/>
      <c r="I54" s="228"/>
      <c r="J54" s="228"/>
      <c r="K54" s="228"/>
      <c r="L54" s="228"/>
      <c r="M54" s="228"/>
      <c r="N54" s="314"/>
      <c r="O54" s="313"/>
      <c r="P54" s="313"/>
      <c r="Q54" s="314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228"/>
      <c r="AC54" s="315"/>
      <c r="AD54" s="315"/>
    </row>
    <row r="55" spans="2:30" ht="15.75" hidden="1">
      <c r="B55" s="394"/>
      <c r="C55" s="394"/>
      <c r="D55" s="394"/>
      <c r="E55" s="394"/>
      <c r="F55" s="394"/>
      <c r="G55" s="394"/>
      <c r="H55" s="394"/>
      <c r="I55" s="228"/>
      <c r="J55" s="228"/>
      <c r="K55" s="228"/>
      <c r="L55" s="228"/>
      <c r="M55" s="228"/>
      <c r="N55" s="314"/>
      <c r="O55" s="313"/>
      <c r="P55" s="313"/>
      <c r="Q55" s="314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228"/>
      <c r="AC55" s="315"/>
      <c r="AD55" s="315"/>
    </row>
    <row r="56" spans="2:30" ht="15.75" hidden="1">
      <c r="B56" s="394"/>
      <c r="C56" s="394"/>
      <c r="D56" s="394"/>
      <c r="E56" s="394"/>
      <c r="F56" s="394"/>
      <c r="G56" s="394"/>
      <c r="H56" s="394"/>
      <c r="I56" s="228"/>
      <c r="J56" s="228"/>
      <c r="K56" s="228"/>
      <c r="L56" s="228"/>
      <c r="M56" s="228"/>
      <c r="N56" s="314"/>
      <c r="O56" s="313"/>
      <c r="P56" s="313"/>
      <c r="Q56" s="314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228"/>
      <c r="AC56" s="315"/>
      <c r="AD56" s="315"/>
    </row>
    <row r="57" spans="2:30" ht="15.75" hidden="1">
      <c r="B57" s="394"/>
      <c r="C57" s="394"/>
      <c r="D57" s="394"/>
      <c r="E57" s="394"/>
      <c r="F57" s="394"/>
      <c r="G57" s="394"/>
      <c r="H57" s="394"/>
      <c r="I57" s="228"/>
      <c r="J57" s="228"/>
      <c r="K57" s="228"/>
      <c r="L57" s="228"/>
      <c r="M57" s="228"/>
      <c r="N57" s="314"/>
      <c r="O57" s="313"/>
      <c r="P57" s="313"/>
      <c r="Q57" s="314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228"/>
      <c r="AC57" s="315"/>
      <c r="AD57" s="315"/>
    </row>
    <row r="58" spans="2:30" ht="15.75" hidden="1" customHeight="1" thickTop="1">
      <c r="B58" s="394"/>
      <c r="C58" s="394"/>
      <c r="D58" s="394"/>
      <c r="E58" s="394"/>
      <c r="F58" s="394"/>
      <c r="G58" s="394"/>
      <c r="H58" s="394"/>
      <c r="I58" s="313"/>
      <c r="J58" s="228"/>
      <c r="K58" s="228"/>
      <c r="L58" s="228"/>
      <c r="M58" s="228"/>
      <c r="N58" s="314"/>
      <c r="O58" s="313"/>
      <c r="P58" s="313"/>
      <c r="Q58" s="314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228"/>
      <c r="AC58" s="315"/>
      <c r="AD58" s="315"/>
    </row>
    <row r="59" spans="2:30" ht="15.75" hidden="1">
      <c r="B59" s="394"/>
      <c r="C59" s="394"/>
      <c r="D59" s="394"/>
      <c r="E59" s="394"/>
      <c r="F59" s="394"/>
      <c r="G59" s="394"/>
      <c r="H59" s="394"/>
      <c r="I59" s="419"/>
      <c r="J59" s="228"/>
      <c r="K59" s="228"/>
      <c r="L59" s="228"/>
      <c r="M59" s="228"/>
      <c r="N59" s="314"/>
      <c r="O59" s="313"/>
      <c r="P59" s="313"/>
      <c r="Q59" s="314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228"/>
      <c r="AC59" s="315"/>
      <c r="AD59" s="315"/>
    </row>
    <row r="60" spans="2:30" ht="15.75" hidden="1">
      <c r="B60" s="394"/>
      <c r="C60" s="394"/>
      <c r="D60" s="394"/>
      <c r="E60" s="394"/>
      <c r="F60" s="394"/>
      <c r="G60" s="394"/>
      <c r="H60" s="394"/>
      <c r="I60" s="325"/>
      <c r="J60" s="228"/>
      <c r="K60" s="228"/>
      <c r="L60" s="228"/>
      <c r="M60" s="228"/>
      <c r="N60" s="314"/>
      <c r="O60" s="313"/>
      <c r="P60" s="313"/>
      <c r="Q60" s="314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228"/>
      <c r="AC60" s="315"/>
      <c r="AD60" s="315"/>
    </row>
    <row r="61" spans="2:30" ht="15.75" hidden="1">
      <c r="B61" s="394"/>
      <c r="C61" s="394"/>
      <c r="D61" s="394"/>
      <c r="E61" s="394"/>
      <c r="F61" s="394"/>
      <c r="G61" s="394"/>
      <c r="H61" s="394"/>
      <c r="I61" s="325"/>
      <c r="J61" s="228"/>
      <c r="K61" s="228"/>
      <c r="L61" s="228"/>
      <c r="M61" s="228"/>
      <c r="N61" s="314"/>
      <c r="O61" s="313"/>
      <c r="P61" s="313"/>
      <c r="Q61" s="314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228"/>
      <c r="AC61" s="315"/>
      <c r="AD61" s="315"/>
    </row>
    <row r="62" spans="2:30" ht="15.75" hidden="1">
      <c r="B62" s="394"/>
      <c r="C62" s="394"/>
      <c r="D62" s="394"/>
      <c r="E62" s="394"/>
      <c r="F62" s="394"/>
      <c r="G62" s="394"/>
      <c r="H62" s="394"/>
      <c r="I62" s="325"/>
      <c r="J62" s="228"/>
      <c r="K62" s="228"/>
      <c r="L62" s="228"/>
      <c r="M62" s="228"/>
      <c r="N62" s="314"/>
      <c r="O62" s="313"/>
      <c r="P62" s="313"/>
      <c r="Q62" s="314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228"/>
      <c r="AC62" s="315"/>
      <c r="AD62" s="315"/>
    </row>
    <row r="63" spans="2:30" ht="15.75" hidden="1">
      <c r="B63" s="394"/>
      <c r="C63" s="394"/>
      <c r="D63" s="394"/>
      <c r="E63" s="394"/>
      <c r="F63" s="394"/>
      <c r="G63" s="394"/>
      <c r="H63" s="394"/>
      <c r="I63" s="325"/>
      <c r="J63" s="228"/>
      <c r="K63" s="228"/>
      <c r="L63" s="228"/>
      <c r="M63" s="228"/>
      <c r="N63" s="314"/>
      <c r="O63" s="313"/>
      <c r="P63" s="313"/>
      <c r="Q63" s="314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228"/>
      <c r="AC63" s="315"/>
      <c r="AD63" s="315"/>
    </row>
    <row r="64" spans="2:30" ht="15.75" hidden="1">
      <c r="B64" s="394"/>
      <c r="C64" s="394"/>
      <c r="D64" s="394"/>
      <c r="E64" s="394"/>
      <c r="F64" s="394"/>
      <c r="G64" s="394"/>
      <c r="H64" s="394"/>
      <c r="I64" s="325"/>
      <c r="J64" s="228"/>
      <c r="K64" s="228"/>
      <c r="L64" s="228"/>
      <c r="M64" s="228"/>
      <c r="N64" s="314"/>
      <c r="O64" s="313"/>
      <c r="P64" s="313"/>
      <c r="Q64" s="314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228"/>
      <c r="AC64" s="315"/>
      <c r="AD64" s="315"/>
    </row>
    <row r="65" spans="2:8" ht="15.75" hidden="1">
      <c r="B65" s="394"/>
      <c r="C65" s="394"/>
      <c r="D65" s="394"/>
      <c r="E65" s="394"/>
      <c r="F65" s="394"/>
      <c r="G65" s="394"/>
      <c r="H65" s="394"/>
    </row>
    <row r="66" spans="2:8" ht="15.75" hidden="1">
      <c r="B66" s="394"/>
      <c r="C66" s="394"/>
      <c r="D66" s="394"/>
      <c r="E66" s="394"/>
      <c r="F66" s="394"/>
      <c r="G66" s="394"/>
      <c r="H66" s="394"/>
    </row>
    <row r="67" spans="2:8" ht="15.75" hidden="1">
      <c r="B67" s="228"/>
      <c r="C67" s="228"/>
      <c r="D67" s="228"/>
      <c r="E67" s="228"/>
      <c r="F67" s="228"/>
      <c r="G67" s="228"/>
      <c r="H67" s="228"/>
    </row>
    <row r="68" spans="2:8" ht="15.75" hidden="1">
      <c r="B68" s="228"/>
      <c r="C68" s="228"/>
      <c r="D68" s="228"/>
      <c r="E68" s="228"/>
      <c r="F68" s="228"/>
      <c r="G68" s="228"/>
      <c r="H68" s="228"/>
    </row>
    <row r="69" spans="2:8" ht="15.75" hidden="1">
      <c r="B69" s="228"/>
      <c r="C69" s="228"/>
      <c r="D69" s="228"/>
      <c r="E69" s="228"/>
      <c r="F69" s="228"/>
      <c r="G69" s="228"/>
      <c r="H69" s="228"/>
    </row>
    <row r="70" spans="2:8" ht="15.75" hidden="1">
      <c r="B70" s="228"/>
      <c r="C70" s="228"/>
      <c r="D70" s="228"/>
      <c r="E70" s="228"/>
      <c r="F70" s="228"/>
      <c r="G70" s="228"/>
      <c r="H70" s="228"/>
    </row>
    <row r="71" spans="2:8" ht="15.75" hidden="1">
      <c r="B71" s="228"/>
      <c r="C71" s="228"/>
      <c r="D71" s="228"/>
      <c r="E71" s="228"/>
      <c r="F71" s="228"/>
      <c r="G71" s="228"/>
      <c r="H71" s="228"/>
    </row>
    <row r="72" spans="2:8" ht="15.75" hidden="1">
      <c r="B72" s="228"/>
      <c r="C72" s="228"/>
      <c r="D72" s="228"/>
      <c r="E72" s="228"/>
      <c r="F72" s="228"/>
      <c r="G72" s="228"/>
      <c r="H72" s="228"/>
    </row>
    <row r="73" spans="2:8" ht="15.75" hidden="1">
      <c r="B73" s="228"/>
      <c r="C73" s="228"/>
      <c r="D73" s="228"/>
      <c r="E73" s="228"/>
      <c r="F73" s="228"/>
      <c r="G73" s="228"/>
      <c r="H73" s="228"/>
    </row>
    <row r="74" spans="2:8" ht="15.75" hidden="1">
      <c r="B74" s="228"/>
      <c r="C74" s="228"/>
      <c r="D74" s="228"/>
      <c r="E74" s="228"/>
      <c r="F74" s="228"/>
      <c r="G74" s="228"/>
      <c r="H74" s="228"/>
    </row>
    <row r="75" spans="2:8" ht="15.75">
      <c r="B75" s="228"/>
      <c r="C75" s="228"/>
      <c r="D75" s="228"/>
      <c r="E75" s="228"/>
      <c r="F75" s="228"/>
      <c r="G75" s="228"/>
      <c r="H75" s="228"/>
    </row>
  </sheetData>
  <mergeCells count="11">
    <mergeCell ref="B12:C12"/>
    <mergeCell ref="D12:F12"/>
    <mergeCell ref="D15:H15"/>
    <mergeCell ref="C24:E24"/>
    <mergeCell ref="C39:E39"/>
    <mergeCell ref="D10:H10"/>
    <mergeCell ref="B3:H3"/>
    <mergeCell ref="J3:M3"/>
    <mergeCell ref="B4:C4"/>
    <mergeCell ref="D4:H4"/>
    <mergeCell ref="D5:F5"/>
  </mergeCells>
  <pageMargins left="0.2" right="0.2" top="0.25" bottom="0.25" header="0.3" footer="0.3"/>
  <pageSetup scale="72" orientation="landscape" r:id="rId1"/>
  <ignoredErrors>
    <ignoredError sqref="F25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13A6E-5B31-4FD8-B989-E630C1FF7FCF}">
  <sheetPr>
    <pageSetUpPr fitToPage="1"/>
  </sheetPr>
  <dimension ref="A1:K62"/>
  <sheetViews>
    <sheetView tabSelected="1" zoomScale="75" zoomScaleNormal="75" workbookViewId="0">
      <selection activeCell="O15" sqref="O15"/>
    </sheetView>
  </sheetViews>
  <sheetFormatPr defaultColWidth="9.140625" defaultRowHeight="15"/>
  <cols>
    <col min="1" max="1" width="3.7109375" customWidth="1"/>
    <col min="2" max="2" width="42.7109375" customWidth="1"/>
    <col min="3" max="3" width="12.42578125" customWidth="1"/>
    <col min="4" max="4" width="52.28515625" customWidth="1"/>
    <col min="5" max="5" width="5.85546875" customWidth="1"/>
    <col min="6" max="6" width="52.7109375" customWidth="1"/>
    <col min="7" max="7" width="20.85546875" customWidth="1"/>
    <col min="8" max="8" width="18.42578125" customWidth="1"/>
    <col min="9" max="9" width="14.28515625" customWidth="1"/>
    <col min="10" max="10" width="13.5703125" bestFit="1" customWidth="1"/>
  </cols>
  <sheetData>
    <row r="1" spans="1:10" ht="39.75" customHeight="1">
      <c r="A1" s="420" t="s">
        <v>330</v>
      </c>
      <c r="B1" s="421"/>
      <c r="C1" s="422"/>
      <c r="D1" s="422"/>
      <c r="E1" s="422"/>
      <c r="F1" s="229"/>
      <c r="G1" s="229"/>
      <c r="H1" s="229"/>
      <c r="I1" s="229"/>
      <c r="J1" s="422"/>
    </row>
    <row r="2" spans="1:10" ht="21.95" customHeight="1" thickBot="1">
      <c r="A2" s="422"/>
      <c r="B2" s="423">
        <v>42739</v>
      </c>
      <c r="C2" s="424"/>
      <c r="D2" s="425"/>
      <c r="E2" s="422"/>
      <c r="F2" s="229"/>
      <c r="G2" s="229"/>
      <c r="H2" s="229"/>
      <c r="I2" s="229"/>
      <c r="J2" s="422"/>
    </row>
    <row r="3" spans="1:10" ht="21.95" customHeight="1" thickBot="1">
      <c r="A3" s="422"/>
      <c r="B3" s="558" t="str">
        <f>'[15]Models A B C'!B4:M4</f>
        <v>MASTER DATA LOOKUP TABLE</v>
      </c>
      <c r="C3" s="559"/>
      <c r="D3" s="560"/>
      <c r="E3" s="389"/>
      <c r="F3" s="531" t="s">
        <v>331</v>
      </c>
      <c r="G3" s="532"/>
      <c r="H3" s="532"/>
      <c r="I3" s="533"/>
      <c r="J3" s="422"/>
    </row>
    <row r="4" spans="1:10" ht="21.95" customHeight="1">
      <c r="A4" s="422"/>
      <c r="B4" s="561" t="s">
        <v>225</v>
      </c>
      <c r="C4" s="562"/>
      <c r="D4" s="426" t="s">
        <v>228</v>
      </c>
      <c r="E4" s="422"/>
      <c r="F4" s="233" t="s">
        <v>332</v>
      </c>
      <c r="G4" s="234">
        <f>[16]BlendedModels!S7</f>
        <v>10</v>
      </c>
      <c r="H4" s="427" t="s">
        <v>333</v>
      </c>
      <c r="I4" s="236">
        <f>G4*365/2</f>
        <v>1825</v>
      </c>
      <c r="J4" s="422"/>
    </row>
    <row r="5" spans="1:10" ht="21.95" customHeight="1">
      <c r="A5" s="422"/>
      <c r="B5" s="428"/>
      <c r="C5" s="429" t="s">
        <v>236</v>
      </c>
      <c r="D5" s="430"/>
      <c r="E5" s="389"/>
      <c r="F5" s="240" t="s">
        <v>122</v>
      </c>
      <c r="G5" s="241"/>
      <c r="H5" s="241" t="s">
        <v>240</v>
      </c>
      <c r="I5" s="242" t="s">
        <v>241</v>
      </c>
      <c r="J5" s="422"/>
    </row>
    <row r="6" spans="1:10" ht="21.95" customHeight="1">
      <c r="A6" s="422"/>
      <c r="B6" s="431" t="s">
        <v>245</v>
      </c>
      <c r="C6" s="432">
        <v>0.25</v>
      </c>
      <c r="D6" s="433" t="s">
        <v>243</v>
      </c>
      <c r="E6" s="389"/>
      <c r="F6" s="255" t="s">
        <v>244</v>
      </c>
      <c r="G6" s="246"/>
      <c r="H6" s="247"/>
      <c r="I6" s="248">
        <f>'[15]Mobile Only Model Budget'!I6</f>
        <v>18243.68</v>
      </c>
      <c r="J6" s="422"/>
    </row>
    <row r="7" spans="1:10" ht="21.95" customHeight="1">
      <c r="A7" s="422"/>
      <c r="B7" s="434" t="s">
        <v>283</v>
      </c>
      <c r="C7" s="432">
        <f>[16]BlendedModels!D24</f>
        <v>0.5</v>
      </c>
      <c r="D7" s="433" t="s">
        <v>243</v>
      </c>
      <c r="E7" s="389"/>
      <c r="F7" s="255" t="s">
        <v>246</v>
      </c>
      <c r="G7" s="246"/>
      <c r="H7" s="247"/>
      <c r="I7" s="248">
        <f>'[15]Mobile Only Model Budget'!I7+'[15]Mobile Only Model Budget'!I8</f>
        <v>68377.608000000007</v>
      </c>
      <c r="J7" s="422"/>
    </row>
    <row r="8" spans="1:10" ht="21.95" customHeight="1" thickBot="1">
      <c r="A8" s="422"/>
      <c r="B8" s="435" t="s">
        <v>284</v>
      </c>
      <c r="C8" s="432">
        <f>C7</f>
        <v>0.5</v>
      </c>
      <c r="D8" s="433" t="s">
        <v>243</v>
      </c>
      <c r="E8" s="389"/>
      <c r="F8" s="255" t="s">
        <v>248</v>
      </c>
      <c r="G8" s="302"/>
      <c r="H8" s="247"/>
      <c r="I8" s="248">
        <f>'[15]Mobile Only Model Budget'!I9+'[15]Mobile Only Model Budget'!I10</f>
        <v>65210.745600000009</v>
      </c>
      <c r="J8" s="422"/>
    </row>
    <row r="9" spans="1:10" ht="21.95" customHeight="1" thickBot="1">
      <c r="A9" s="422"/>
      <c r="B9" s="435" t="s">
        <v>285</v>
      </c>
      <c r="C9" s="432">
        <f>[16]BlendedModels!D28</f>
        <v>1.4</v>
      </c>
      <c r="D9" s="433" t="s">
        <v>243</v>
      </c>
      <c r="E9" s="389"/>
      <c r="F9" s="352" t="s">
        <v>250</v>
      </c>
      <c r="G9" s="436"/>
      <c r="H9" s="252">
        <v>2.9</v>
      </c>
      <c r="I9" s="253">
        <f>SUM(I6:I8)</f>
        <v>151832.03360000002</v>
      </c>
      <c r="J9" s="422"/>
    </row>
    <row r="10" spans="1:10" ht="21.95" customHeight="1">
      <c r="A10" s="422"/>
      <c r="B10" s="428" t="s">
        <v>262</v>
      </c>
      <c r="C10" s="432">
        <f>[16]BlendedModels!D30</f>
        <v>0.25</v>
      </c>
      <c r="D10" s="433" t="s">
        <v>243</v>
      </c>
      <c r="E10" s="389"/>
      <c r="F10" s="255" t="s">
        <v>252</v>
      </c>
      <c r="G10" s="246"/>
      <c r="H10" s="256">
        <f>C12</f>
        <v>0.25390000000000001</v>
      </c>
      <c r="I10" s="248">
        <f>I9*H10</f>
        <v>38550.153331040012</v>
      </c>
      <c r="J10" s="422"/>
    </row>
    <row r="11" spans="1:10" ht="21.95" customHeight="1">
      <c r="A11" s="422"/>
      <c r="B11" s="563" t="s">
        <v>266</v>
      </c>
      <c r="C11" s="564"/>
      <c r="D11" s="437"/>
      <c r="E11" s="389"/>
      <c r="F11" s="255" t="s">
        <v>297</v>
      </c>
      <c r="G11" s="246"/>
      <c r="H11" s="256">
        <f>C17</f>
        <v>2.7811565914169036E-2</v>
      </c>
      <c r="I11" s="248">
        <f>(I9+I10)*H11</f>
        <v>5294.8267407162703</v>
      </c>
      <c r="J11" s="422"/>
    </row>
    <row r="12" spans="1:10" ht="21.95" customHeight="1">
      <c r="A12" s="422"/>
      <c r="B12" s="438" t="s">
        <v>268</v>
      </c>
      <c r="C12" s="439">
        <f>'[15]Models A B C Budget'!D33</f>
        <v>0.25390000000000001</v>
      </c>
      <c r="D12" s="440" t="s">
        <v>287</v>
      </c>
      <c r="E12" s="389"/>
      <c r="F12" s="258" t="s">
        <v>256</v>
      </c>
      <c r="G12" s="259"/>
      <c r="H12" s="260"/>
      <c r="I12" s="261">
        <f>SUM(I9:I11)</f>
        <v>195677.01367175629</v>
      </c>
      <c r="J12" s="422"/>
    </row>
    <row r="13" spans="1:10" ht="21.95" customHeight="1">
      <c r="A13" s="422"/>
      <c r="B13" s="441" t="str">
        <f>'[15]Peer Model Budget'!B20</f>
        <v>Occupancy (per FTE)</v>
      </c>
      <c r="C13" s="442">
        <v>8237.24</v>
      </c>
      <c r="D13" s="443" t="str">
        <f>'[15]Models A B C Budget'!G34</f>
        <v>FY21 UFR Data wtg avg</v>
      </c>
      <c r="E13" s="389"/>
      <c r="F13" s="444" t="str">
        <f>B14</f>
        <v>Additional Travel/Vehicle Exp (Per FTE)</v>
      </c>
      <c r="G13" s="305"/>
      <c r="H13" s="445">
        <f>C14</f>
        <v>5100</v>
      </c>
      <c r="I13" s="248">
        <f>H9*H13</f>
        <v>14790</v>
      </c>
      <c r="J13" s="422"/>
    </row>
    <row r="14" spans="1:10" ht="21.95" customHeight="1">
      <c r="A14" s="422"/>
      <c r="B14" s="441" t="s">
        <v>334</v>
      </c>
      <c r="C14" s="442">
        <f>5000*(1+2%)</f>
        <v>5100</v>
      </c>
      <c r="D14" s="369" t="s">
        <v>243</v>
      </c>
      <c r="E14" s="389"/>
      <c r="F14" s="444" t="str">
        <f>B13</f>
        <v>Occupancy (per FTE)</v>
      </c>
      <c r="G14" s="265"/>
      <c r="H14" s="246">
        <f>C13</f>
        <v>8237.24</v>
      </c>
      <c r="I14" s="248">
        <f>H14*H9</f>
        <v>23887.995999999999</v>
      </c>
      <c r="J14" s="446"/>
    </row>
    <row r="15" spans="1:10" ht="51.6" customHeight="1">
      <c r="A15" s="422"/>
      <c r="B15" s="447" t="str">
        <f>'[15]Peer Model Budget'!B21</f>
        <v>All Other expenses (per FTE)</v>
      </c>
      <c r="C15" s="448">
        <v>3822.39</v>
      </c>
      <c r="D15" s="449" t="s">
        <v>274</v>
      </c>
      <c r="E15" s="389"/>
      <c r="F15" s="255" t="str">
        <f>B15</f>
        <v>All Other expenses (per FTE)</v>
      </c>
      <c r="G15" s="265"/>
      <c r="H15" s="246">
        <f>C15</f>
        <v>3822.39</v>
      </c>
      <c r="I15" s="248">
        <f>H15*H9</f>
        <v>11084.930999999999</v>
      </c>
      <c r="J15" s="422"/>
    </row>
    <row r="16" spans="1:10" ht="21.95" customHeight="1" thickBot="1">
      <c r="A16" s="422"/>
      <c r="B16" s="447" t="s">
        <v>202</v>
      </c>
      <c r="C16" s="450">
        <f>'[15]M2021 BLS  SALARY CHART'!D41</f>
        <v>0.12</v>
      </c>
      <c r="D16" s="451" t="s">
        <v>275</v>
      </c>
      <c r="E16" s="389"/>
      <c r="F16" s="258" t="s">
        <v>261</v>
      </c>
      <c r="G16" s="270"/>
      <c r="H16" s="271"/>
      <c r="I16" s="272">
        <f>SUM(I12:I15)</f>
        <v>245439.94067175631</v>
      </c>
      <c r="J16" s="422"/>
    </row>
    <row r="17" spans="2:11" ht="21.95" customHeight="1" thickBot="1">
      <c r="B17" s="452" t="s">
        <v>276</v>
      </c>
      <c r="C17" s="453">
        <f>'[15]Models A B C Budget'!D37</f>
        <v>2.7811565914169036E-2</v>
      </c>
      <c r="D17" s="454" t="s">
        <v>335</v>
      </c>
      <c r="E17" s="389"/>
      <c r="F17" s="255" t="s">
        <v>298</v>
      </c>
      <c r="G17" s="455"/>
      <c r="H17" s="384">
        <f>C17</f>
        <v>2.7811565914169036E-2</v>
      </c>
      <c r="I17" s="456">
        <f>(I13+I14+I15)*H17</f>
        <v>1383.9849243424819</v>
      </c>
      <c r="J17" s="422"/>
      <c r="K17" s="422"/>
    </row>
    <row r="18" spans="2:11" ht="21.95" customHeight="1" thickTop="1" thickBot="1">
      <c r="B18" s="452"/>
      <c r="C18" s="453"/>
      <c r="D18" s="454"/>
      <c r="E18" s="389"/>
      <c r="F18" s="255" t="s">
        <v>265</v>
      </c>
      <c r="G18" s="457"/>
      <c r="H18" s="458">
        <f>C16</f>
        <v>0.12</v>
      </c>
      <c r="I18" s="459">
        <f>(I16-I11)*H18</f>
        <v>28817.413671724804</v>
      </c>
      <c r="J18" s="422"/>
      <c r="K18" s="422"/>
    </row>
    <row r="19" spans="2:11" ht="21.95" customHeight="1" thickBot="1">
      <c r="B19" s="389"/>
      <c r="C19" s="389"/>
      <c r="D19" s="389"/>
      <c r="E19" s="389"/>
      <c r="F19" s="250" t="s">
        <v>336</v>
      </c>
      <c r="G19" s="331"/>
      <c r="H19" s="331"/>
      <c r="I19" s="460">
        <f>I16+I17+I18</f>
        <v>275641.33926782361</v>
      </c>
      <c r="J19" s="422"/>
      <c r="K19" s="422"/>
    </row>
    <row r="20" spans="2:11" ht="47.1" customHeight="1" thickBot="1">
      <c r="B20" s="422"/>
      <c r="C20" s="422"/>
      <c r="D20" s="422"/>
      <c r="E20" s="389"/>
      <c r="F20" s="352" t="s">
        <v>291</v>
      </c>
      <c r="G20" s="331"/>
      <c r="H20" s="331"/>
      <c r="I20" s="461">
        <f>I19/I4</f>
        <v>151.03635028373895</v>
      </c>
      <c r="J20" s="422"/>
      <c r="K20" s="422"/>
    </row>
    <row r="21" spans="2:11" ht="21.95" customHeight="1">
      <c r="B21" s="422"/>
      <c r="C21" s="422"/>
      <c r="D21" s="422"/>
      <c r="E21" s="389"/>
      <c r="F21" s="265"/>
      <c r="G21" s="265"/>
      <c r="H21" s="265"/>
      <c r="I21" s="462"/>
      <c r="J21" s="422"/>
      <c r="K21" s="422"/>
    </row>
    <row r="22" spans="2:11" ht="21.95" customHeight="1">
      <c r="B22" s="422"/>
      <c r="C22" s="422"/>
      <c r="D22" s="422"/>
      <c r="E22" s="389"/>
      <c r="F22" s="265"/>
      <c r="G22" s="265"/>
      <c r="H22" s="265"/>
      <c r="I22" s="463"/>
      <c r="J22" s="422"/>
      <c r="K22" s="422"/>
    </row>
    <row r="23" spans="2:11" ht="21.95" customHeight="1">
      <c r="B23" s="422"/>
      <c r="C23" s="422"/>
      <c r="D23" s="422"/>
      <c r="E23" s="389"/>
      <c r="F23" s="229"/>
      <c r="G23" s="229"/>
      <c r="H23" s="229"/>
      <c r="I23" s="229"/>
      <c r="J23" s="422"/>
      <c r="K23" s="422"/>
    </row>
    <row r="24" spans="2:11" ht="21.95" customHeight="1">
      <c r="B24" s="422"/>
      <c r="C24" s="422"/>
      <c r="D24" s="422"/>
      <c r="E24" s="389"/>
      <c r="F24" s="229"/>
      <c r="G24" s="229"/>
      <c r="H24" s="229"/>
      <c r="I24" s="229"/>
      <c r="J24" s="422"/>
      <c r="K24" s="422"/>
    </row>
    <row r="25" spans="2:11" ht="21.95" customHeight="1">
      <c r="B25" s="422"/>
      <c r="C25" s="422"/>
      <c r="D25" s="422"/>
      <c r="E25" s="389"/>
      <c r="F25" s="464"/>
      <c r="G25" s="464"/>
      <c r="H25" s="464"/>
      <c r="I25" s="464"/>
      <c r="J25" s="422"/>
      <c r="K25" s="422"/>
    </row>
    <row r="26" spans="2:11" ht="21.95" customHeight="1">
      <c r="B26" s="422"/>
      <c r="C26" s="422"/>
      <c r="D26" s="422"/>
      <c r="E26" s="389"/>
      <c r="F26" s="422"/>
      <c r="G26" s="422"/>
      <c r="H26" s="422"/>
      <c r="I26" s="422"/>
      <c r="J26" s="422"/>
      <c r="K26" s="422"/>
    </row>
    <row r="27" spans="2:11" ht="21.95" customHeight="1">
      <c r="B27" s="422"/>
      <c r="C27" s="422"/>
      <c r="D27" s="422"/>
      <c r="E27" s="422"/>
      <c r="F27" s="565"/>
      <c r="G27" s="565"/>
      <c r="H27" s="565"/>
      <c r="I27" s="565"/>
      <c r="J27" s="422"/>
      <c r="K27" s="422"/>
    </row>
    <row r="28" spans="2:11" ht="21.95" customHeight="1">
      <c r="B28" s="422"/>
      <c r="C28" s="422"/>
      <c r="D28" s="422"/>
      <c r="E28" s="465"/>
      <c r="F28" s="466"/>
      <c r="G28" s="467"/>
      <c r="H28" s="466"/>
      <c r="I28" s="468"/>
      <c r="J28" s="422"/>
      <c r="K28" s="422"/>
    </row>
    <row r="29" spans="2:11" ht="21.95" hidden="1" customHeight="1">
      <c r="B29" s="422"/>
      <c r="C29" s="422"/>
      <c r="D29" s="422"/>
      <c r="E29" s="415" t="s">
        <v>337</v>
      </c>
      <c r="F29" s="469"/>
      <c r="G29" s="470"/>
      <c r="H29" s="470"/>
      <c r="I29" s="470"/>
      <c r="J29" s="415"/>
      <c r="K29" s="415"/>
    </row>
    <row r="30" spans="2:11" ht="21.95" hidden="1" customHeight="1" thickBot="1">
      <c r="B30" s="422"/>
      <c r="C30" s="422"/>
      <c r="D30" s="422"/>
      <c r="E30" s="465"/>
      <c r="F30" s="389"/>
      <c r="G30" s="368"/>
      <c r="H30" s="471"/>
      <c r="I30" s="368"/>
      <c r="J30" s="422"/>
      <c r="K30" s="422"/>
    </row>
    <row r="31" spans="2:11" ht="21.95" hidden="1" customHeight="1" thickBot="1">
      <c r="B31" s="422"/>
      <c r="C31" s="422"/>
      <c r="D31" s="422"/>
      <c r="E31" s="465"/>
      <c r="F31" s="389"/>
      <c r="G31" s="368"/>
      <c r="H31" s="471"/>
      <c r="I31" s="368"/>
      <c r="J31" s="422"/>
      <c r="K31" s="422"/>
    </row>
    <row r="32" spans="2:11" ht="20.100000000000001" hidden="1" customHeight="1">
      <c r="B32" s="422"/>
      <c r="C32" s="422"/>
      <c r="D32" s="422"/>
      <c r="E32" s="465"/>
      <c r="F32" s="389"/>
      <c r="G32" s="472"/>
      <c r="H32" s="471"/>
      <c r="I32" s="368"/>
      <c r="J32" s="422"/>
      <c r="K32" s="422"/>
    </row>
    <row r="33" spans="5:9" ht="20.100000000000001" hidden="1" customHeight="1">
      <c r="E33" s="465"/>
      <c r="F33" s="389"/>
      <c r="G33" s="368"/>
      <c r="H33" s="471"/>
      <c r="I33" s="368"/>
    </row>
    <row r="34" spans="5:9" ht="20.100000000000001" hidden="1" customHeight="1">
      <c r="E34" s="465"/>
      <c r="F34" s="389"/>
      <c r="G34" s="368"/>
      <c r="H34" s="471"/>
      <c r="I34" s="368"/>
    </row>
    <row r="35" spans="5:9" ht="20.100000000000001" hidden="1" customHeight="1">
      <c r="E35" s="465"/>
      <c r="F35" s="389"/>
      <c r="G35" s="368"/>
      <c r="H35" s="471"/>
      <c r="I35" s="368"/>
    </row>
    <row r="36" spans="5:9" ht="20.100000000000001" hidden="1" customHeight="1">
      <c r="E36" s="422"/>
      <c r="F36" s="469"/>
      <c r="G36" s="469"/>
      <c r="H36" s="471"/>
      <c r="I36" s="473"/>
    </row>
    <row r="37" spans="5:9" ht="20.100000000000001" hidden="1" customHeight="1">
      <c r="E37" s="422"/>
      <c r="F37" s="389"/>
      <c r="G37" s="389"/>
      <c r="H37" s="474"/>
      <c r="I37" s="368"/>
    </row>
    <row r="38" spans="5:9" ht="20.100000000000001" hidden="1" customHeight="1">
      <c r="E38" s="422"/>
      <c r="F38" s="389"/>
      <c r="G38" s="389"/>
      <c r="H38" s="474"/>
      <c r="I38" s="368"/>
    </row>
    <row r="39" spans="5:9" ht="20.100000000000001" hidden="1" customHeight="1">
      <c r="E39" s="422"/>
      <c r="F39" s="475"/>
      <c r="G39" s="476"/>
      <c r="H39" s="477"/>
      <c r="I39" s="473"/>
    </row>
    <row r="40" spans="5:9" ht="20.100000000000001" hidden="1" customHeight="1">
      <c r="E40" s="422"/>
      <c r="F40" s="425"/>
      <c r="G40" s="476"/>
      <c r="H40" s="478"/>
      <c r="I40" s="368"/>
    </row>
    <row r="41" spans="5:9" ht="20.100000000000001" hidden="1" customHeight="1">
      <c r="E41" s="422"/>
      <c r="F41" s="425"/>
      <c r="G41" s="389"/>
      <c r="H41" s="368"/>
      <c r="I41" s="368"/>
    </row>
    <row r="42" spans="5:9" ht="20.100000000000001" hidden="1" customHeight="1">
      <c r="E42" s="422"/>
      <c r="F42" s="389"/>
      <c r="G42" s="389"/>
      <c r="H42" s="368"/>
      <c r="I42" s="368"/>
    </row>
    <row r="43" spans="5:9" ht="20.100000000000001" hidden="1" customHeight="1">
      <c r="E43" s="422"/>
      <c r="F43" s="469"/>
      <c r="G43" s="389"/>
      <c r="H43" s="479"/>
      <c r="I43" s="480"/>
    </row>
    <row r="44" spans="5:9" ht="20.100000000000001" hidden="1" customHeight="1">
      <c r="E44" s="422"/>
      <c r="F44" s="389"/>
      <c r="G44" s="389"/>
      <c r="H44" s="481"/>
      <c r="I44" s="480"/>
    </row>
    <row r="45" spans="5:9" ht="20.100000000000001" hidden="1" customHeight="1">
      <c r="E45" s="422"/>
      <c r="F45" s="389"/>
      <c r="G45" s="469"/>
      <c r="H45" s="469"/>
      <c r="I45" s="482"/>
    </row>
    <row r="46" spans="5:9" ht="20.100000000000001" hidden="1" customHeight="1">
      <c r="E46" s="422"/>
      <c r="F46" s="389"/>
      <c r="G46" s="469"/>
      <c r="H46" s="483"/>
      <c r="I46" s="482"/>
    </row>
    <row r="47" spans="5:9" ht="20.100000000000001" hidden="1" customHeight="1">
      <c r="E47" s="422"/>
      <c r="F47" s="389"/>
      <c r="G47" s="389"/>
      <c r="H47" s="389"/>
      <c r="I47" s="472"/>
    </row>
    <row r="48" spans="5:9" ht="20.100000000000001" hidden="1" customHeight="1" thickBot="1">
      <c r="E48" s="422"/>
      <c r="F48" s="469"/>
      <c r="G48" s="389"/>
      <c r="H48" s="389"/>
      <c r="I48" s="479"/>
    </row>
    <row r="49" spans="6:9" ht="20.100000000000001" hidden="1" customHeight="1" thickTop="1">
      <c r="F49" s="389"/>
      <c r="G49" s="389"/>
      <c r="H49" s="389"/>
      <c r="I49" s="389"/>
    </row>
    <row r="50" spans="6:9" ht="20.100000000000001" hidden="1" customHeight="1" thickBot="1">
      <c r="F50" s="389"/>
      <c r="G50" s="389"/>
      <c r="H50" s="389"/>
      <c r="I50" s="483"/>
    </row>
    <row r="51" spans="6:9" ht="20.100000000000001" hidden="1" customHeight="1" thickBot="1">
      <c r="F51" s="422"/>
      <c r="G51" s="422"/>
      <c r="H51" s="422"/>
      <c r="I51" s="422"/>
    </row>
    <row r="52" spans="6:9" ht="20.100000000000001" hidden="1" customHeight="1" thickBot="1">
      <c r="F52" s="422"/>
      <c r="G52" s="422"/>
      <c r="H52" s="422"/>
      <c r="I52" s="422"/>
    </row>
    <row r="53" spans="6:9" ht="20.100000000000001" hidden="1" customHeight="1">
      <c r="F53" s="422"/>
      <c r="G53" s="422"/>
      <c r="H53" s="422"/>
      <c r="I53" s="422"/>
    </row>
    <row r="54" spans="6:9" ht="20.100000000000001" hidden="1" customHeight="1">
      <c r="F54" s="422"/>
      <c r="G54" s="422"/>
      <c r="H54" s="422"/>
      <c r="I54" s="422"/>
    </row>
    <row r="55" spans="6:9" ht="20.100000000000001" hidden="1" customHeight="1">
      <c r="F55" s="422"/>
      <c r="G55" s="422"/>
      <c r="H55" s="422"/>
      <c r="I55" s="422"/>
    </row>
    <row r="56" spans="6:9" ht="15.75" hidden="1">
      <c r="F56" s="422"/>
      <c r="G56" s="422"/>
      <c r="H56" s="422"/>
      <c r="I56" s="422"/>
    </row>
    <row r="57" spans="6:9" ht="15.75" hidden="1">
      <c r="F57" s="422"/>
      <c r="G57" s="422"/>
      <c r="H57" s="422"/>
      <c r="I57" s="422"/>
    </row>
    <row r="58" spans="6:9" ht="15.75" hidden="1">
      <c r="F58" s="422"/>
      <c r="G58" s="422"/>
      <c r="H58" s="422"/>
      <c r="I58" s="422"/>
    </row>
    <row r="59" spans="6:9" ht="15.75" hidden="1">
      <c r="F59" s="422"/>
      <c r="G59" s="422"/>
      <c r="H59" s="422"/>
      <c r="I59" s="422"/>
    </row>
    <row r="60" spans="6:9" ht="15.75" hidden="1">
      <c r="F60" s="422"/>
      <c r="G60" s="422"/>
      <c r="H60" s="422"/>
      <c r="I60" s="422"/>
    </row>
    <row r="61" spans="6:9" ht="15.75" hidden="1">
      <c r="F61" s="422"/>
      <c r="G61" s="422"/>
      <c r="H61" s="422"/>
      <c r="I61" s="422"/>
    </row>
    <row r="62" spans="6:9" ht="15.75">
      <c r="F62" s="422"/>
      <c r="G62" s="422"/>
      <c r="H62" s="422"/>
      <c r="I62" s="422"/>
    </row>
  </sheetData>
  <mergeCells count="5">
    <mergeCell ref="B3:D3"/>
    <mergeCell ref="F3:I3"/>
    <mergeCell ref="B4:C4"/>
    <mergeCell ref="B11:C11"/>
    <mergeCell ref="F27:I27"/>
  </mergeCells>
  <pageMargins left="0.2" right="0.2" top="0.25" bottom="0.2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CAF FALL 2022</vt:lpstr>
      <vt:lpstr>M2021 BLS SALARY CHART (53_PCT)</vt:lpstr>
      <vt:lpstr>Models A B C Budget</vt:lpstr>
      <vt:lpstr>Site Only Model Budget </vt:lpstr>
      <vt:lpstr>Peer Model Budget</vt:lpstr>
      <vt:lpstr>Mobile Only Model Budget </vt:lpstr>
      <vt:lpstr>'M2021 BLS SALARY CHART (53_PCT)'!Print_Area</vt:lpstr>
      <vt:lpstr>'Mobile Only Model Budget '!Print_Area</vt:lpstr>
      <vt:lpstr>'Models A B C Budget'!Print_Area</vt:lpstr>
      <vt:lpstr>'Peer Model Budget'!Print_Area</vt:lpstr>
      <vt:lpstr>'Site Only Model Budget '!Print_Area</vt:lpstr>
      <vt:lpstr>'CAF FALL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Solimini, Kara (EHS)</dc:creator>
  <cp:lastModifiedBy>Harrison, Deborah (EHS)</cp:lastModifiedBy>
  <dcterms:created xsi:type="dcterms:W3CDTF">2023-03-23T16:08:46Z</dcterms:created>
  <dcterms:modified xsi:type="dcterms:W3CDTF">2023-04-27T18:51:32Z</dcterms:modified>
</cp:coreProperties>
</file>