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1.xml" ContentType="application/vnd.ms-excel.threaded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24226"/>
  <mc:AlternateContent xmlns:mc="http://schemas.openxmlformats.org/markup-compatibility/2006">
    <mc:Choice Requires="x15">
      <x15ac:absPath xmlns:x15ac="http://schemas.microsoft.com/office/spreadsheetml/2010/11/ac" url="https://massgov-my.sharepoint.com/personal/deborah_harrison_mass_gov/Documents/Documents/Agencies/EHS/Conor/"/>
    </mc:Choice>
  </mc:AlternateContent>
  <xr:revisionPtr revIDLastSave="0" documentId="8_{11049973-42BC-4ACB-BC51-DD323F0182DA}" xr6:coauthVersionLast="47" xr6:coauthVersionMax="47" xr10:uidLastSave="{00000000-0000-0000-0000-000000000000}"/>
  <bookViews>
    <workbookView xWindow="-18910" yWindow="0" windowWidth="17250" windowHeight="10400" tabRatio="872" firstSheet="10" activeTab="19" xr2:uid="{00000000-000D-0000-FFFF-FFFF00000000}"/>
  </bookViews>
  <sheets>
    <sheet name="2023 FALL CAF" sheetId="34" r:id="rId1"/>
    <sheet name="2023 SPRING CAF" sheetId="32" state="hidden" r:id="rId2"/>
    <sheet name="FALL CAF 2022" sheetId="31" state="hidden" r:id="rId3"/>
    <sheet name="M2022 BLS SALARY CHART (53_PCT)" sheetId="33" r:id="rId4"/>
    <sheet name="M2021 BLS  SALARY CHART" sheetId="28" state="hidden" r:id="rId5"/>
    <sheet name="Spring 2022 CAF" sheetId="29" state="hidden" r:id="rId6"/>
    <sheet name="FY20 UFR Data" sheetId="7" state="hidden" r:id="rId7"/>
    <sheet name="Safe &amp; Stable" sheetId="12" r:id="rId8"/>
    <sheet name="Prep Support" sheetId="13" r:id="rId9"/>
    <sheet name="Therapeutic" sheetId="14" r:id="rId10"/>
    <sheet name="Substance Use Interventions CW" sheetId="15" r:id="rId11"/>
    <sheet name="Youth Support" sheetId="17" r:id="rId12"/>
    <sheet name="Evidenced Based" sheetId="19" r:id="rId13"/>
    <sheet name="Family Crisis" sheetId="18" r:id="rId14"/>
    <sheet name="Respite" sheetId="20" r:id="rId15"/>
    <sheet name="Assessment Services" sheetId="21" r:id="rId16"/>
    <sheet name="Mediation Services" sheetId="27" r:id="rId17"/>
    <sheet name="Comprehensive Services" sheetId="26" r:id="rId18"/>
    <sheet name="Child Welfare Groups" sheetId="23" r:id="rId19"/>
    <sheet name="Child Welfare Specialty Groups" sheetId="24" r:id="rId20"/>
    <sheet name="Rate Chart" sheetId="25" r:id="rId21"/>
    <sheet name="Parent Skill Dev Group" sheetId="4" state="hidden" r:id="rId22"/>
    <sheet name="Family Skills Dev Group" sheetId="3" state="hidden" r:id="rId23"/>
    <sheet name="Specialty Family Skills Group" sheetId="2" state="hidden" r:id="rId24"/>
    <sheet name="Clinical Comp" sheetId="1" state="hidden" r:id="rId25"/>
    <sheet name="CURRENT RATES" sheetId="11" state="hidden" r:id="rId26"/>
  </sheets>
  <externalReferences>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s>
  <definedNames>
    <definedName name="alldata" localSheetId="17">#REF!</definedName>
    <definedName name="alldata" localSheetId="2">#REF!</definedName>
    <definedName name="alldata" localSheetId="4">#REF!</definedName>
    <definedName name="alldata" localSheetId="3">#REF!</definedName>
    <definedName name="alldata" localSheetId="16">#REF!</definedName>
    <definedName name="alldata">#REF!</definedName>
    <definedName name="alled" localSheetId="17">#REF!</definedName>
    <definedName name="alled" localSheetId="2">#REF!</definedName>
    <definedName name="alled" localSheetId="4">#REF!</definedName>
    <definedName name="alled" localSheetId="3">#REF!</definedName>
    <definedName name="alled" localSheetId="16">#REF!</definedName>
    <definedName name="alled">#REF!</definedName>
    <definedName name="allstem" localSheetId="17">#REF!</definedName>
    <definedName name="allstem" localSheetId="2">#REF!</definedName>
    <definedName name="allstem" localSheetId="4">#REF!</definedName>
    <definedName name="allstem" localSheetId="3">#REF!</definedName>
    <definedName name="allstem" localSheetId="16">#REF!</definedName>
    <definedName name="allstem">#REF!</definedName>
    <definedName name="asdfasd" localSheetId="17">'[1]Complete UFR List'!#REF!</definedName>
    <definedName name="asdfasd" localSheetId="16">'[1]Complete UFR List'!#REF!</definedName>
    <definedName name="asdfasd">'[1]Complete UFR List'!#REF!</definedName>
    <definedName name="asdfasdf" localSheetId="17">'[1]Complete UFR List'!#REF!</definedName>
    <definedName name="asdfasdf" localSheetId="2">#REF!</definedName>
    <definedName name="asdfasdf" localSheetId="16">'[1]Complete UFR List'!#REF!</definedName>
    <definedName name="asdfasdf">'[1]Complete UFR List'!#REF!</definedName>
    <definedName name="autsupp2" localSheetId="17">#REF!</definedName>
    <definedName name="autsupp2" localSheetId="16">#REF!</definedName>
    <definedName name="autsupp2">#REF!</definedName>
    <definedName name="Average" localSheetId="2">#REF!</definedName>
    <definedName name="Average">#REF!</definedName>
    <definedName name="Break">'[2]Tech Stuff'!$E$4</definedName>
    <definedName name="CAF_NEW" localSheetId="2">[3]RawDataCalcs!$L$70:$DB$70</definedName>
    <definedName name="CAF_NEW">[4]RawDataCalcs!$L$70:$DB$70</definedName>
    <definedName name="Cap" localSheetId="2">[5]RawDataCalcs!$L$70:$DB$70</definedName>
    <definedName name="Cap" localSheetId="4">[6]RawDataCalcs!$L$35:$DB$35</definedName>
    <definedName name="Cap" localSheetId="3">[6]RawDataCalcs!$L$35:$DB$35</definedName>
    <definedName name="Cap">[7]RawDataCalcs!$L$13:$DB$13</definedName>
    <definedName name="Data" localSheetId="17">#REF!</definedName>
    <definedName name="Data" localSheetId="2">#REF!</definedName>
    <definedName name="Data" localSheetId="16">#REF!</definedName>
    <definedName name="Data">#REF!</definedName>
    <definedName name="Fisc">'[1]Complete UFR List'!#REF!</definedName>
    <definedName name="Floor" localSheetId="2">[5]RawDataCalcs!$L$69:$DB$69</definedName>
    <definedName name="Floor" localSheetId="4">[6]RawDataCalcs!$L$34:$DB$34</definedName>
    <definedName name="Floor" localSheetId="3">[6]RawDataCalcs!$L$34:$DB$34</definedName>
    <definedName name="Floor">[7]RawDataCalcs!$L$12:$DB$12</definedName>
    <definedName name="Funds" localSheetId="2">'[8]RawDataCalcs3386&amp;3401'!$L$68:$DB$68</definedName>
    <definedName name="Funds">'[9]RawDataCalcs3386&amp;3401'!$L$68:$DB$68</definedName>
    <definedName name="gk" localSheetId="18">#REF!</definedName>
    <definedName name="gk" localSheetId="19">#REF!</definedName>
    <definedName name="gk" localSheetId="17">#REF!</definedName>
    <definedName name="gk" localSheetId="2">#REF!</definedName>
    <definedName name="gk" localSheetId="22">#REF!</definedName>
    <definedName name="gk" localSheetId="16">#REF!</definedName>
    <definedName name="gk" localSheetId="21">#REF!</definedName>
    <definedName name="gk" localSheetId="23">#REF!</definedName>
    <definedName name="gk">#REF!</definedName>
    <definedName name="hhh" localSheetId="17">#REF!</definedName>
    <definedName name="hhh" localSheetId="2">#REF!</definedName>
    <definedName name="hhh" localSheetId="16">#REF!</definedName>
    <definedName name="hhh">#REF!</definedName>
    <definedName name="JailDAverage" localSheetId="17">#REF!</definedName>
    <definedName name="JailDAverage" localSheetId="2">#REF!</definedName>
    <definedName name="JailDAverage" localSheetId="16">#REF!</definedName>
    <definedName name="JailDAverage">#REF!</definedName>
    <definedName name="JailDCap" localSheetId="2">[10]ALLRawDataCalcs!$L$80:$DB$80</definedName>
    <definedName name="JailDCap">[11]ALLRawDataCalcs!$L$80:$DB$80</definedName>
    <definedName name="JailDFloor" localSheetId="2">[10]ALLRawDataCalcs!$L$79:$DB$79</definedName>
    <definedName name="JailDFloor">[11]ALLRawDataCalcs!$L$79:$DB$79</definedName>
    <definedName name="JailDgk" localSheetId="17">#REF!</definedName>
    <definedName name="JailDgk" localSheetId="2">#REF!</definedName>
    <definedName name="JailDgk" localSheetId="16">#REF!</definedName>
    <definedName name="JailDgk">#REF!</definedName>
    <definedName name="JailDMax" localSheetId="17">#REF!</definedName>
    <definedName name="JailDMax" localSheetId="2">#REF!</definedName>
    <definedName name="JailDMax" localSheetId="16">#REF!</definedName>
    <definedName name="JailDMax">#REF!</definedName>
    <definedName name="JailDMedian" localSheetId="17">#REF!</definedName>
    <definedName name="JailDMedian" localSheetId="2">#REF!</definedName>
    <definedName name="JailDMedian" localSheetId="16">#REF!</definedName>
    <definedName name="JailDMedian">#REF!</definedName>
    <definedName name="jm" localSheetId="17">'[1]Complete UFR List'!#REF!</definedName>
    <definedName name="jm" localSheetId="16">'[1]Complete UFR List'!#REF!</definedName>
    <definedName name="jm">'[1]Complete UFR List'!#REF!</definedName>
    <definedName name="kls" localSheetId="17">#REF!</definedName>
    <definedName name="kls" localSheetId="2">#REF!</definedName>
    <definedName name="kls" localSheetId="16">#REF!</definedName>
    <definedName name="kls">#REF!</definedName>
    <definedName name="ListProviders">'[12]List of Programs'!$A$24:$A$29</definedName>
    <definedName name="Max" localSheetId="17">#REF!</definedName>
    <definedName name="Max" localSheetId="2">#REF!</definedName>
    <definedName name="Max" localSheetId="16">#REF!</definedName>
    <definedName name="Max">#REF!</definedName>
    <definedName name="Median" localSheetId="17">#REF!</definedName>
    <definedName name="Median" localSheetId="2">#REF!</definedName>
    <definedName name="Median" localSheetId="16">#REF!</definedName>
    <definedName name="Median">#REF!</definedName>
    <definedName name="Min" localSheetId="17">#REF!</definedName>
    <definedName name="Min" localSheetId="2">#REF!</definedName>
    <definedName name="Min" localSheetId="16">#REF!</definedName>
    <definedName name="Min">#REF!</definedName>
    <definedName name="MT" localSheetId="18">#REF!</definedName>
    <definedName name="MT" localSheetId="19">#REF!</definedName>
    <definedName name="MT" localSheetId="2">#REF!</definedName>
    <definedName name="MT" localSheetId="22">#REF!</definedName>
    <definedName name="MT" localSheetId="21">#REF!</definedName>
    <definedName name="MT" localSheetId="23">#REF!</definedName>
    <definedName name="MT">#REF!</definedName>
    <definedName name="new" localSheetId="2">#REF!</definedName>
    <definedName name="new">#REF!</definedName>
    <definedName name="ok" localSheetId="2">#REF!</definedName>
    <definedName name="ok">#REF!</definedName>
    <definedName name="_xlnm.Print_Area" localSheetId="18">'Child Welfare Groups'!$H$2:$T$33</definedName>
    <definedName name="_xlnm.Print_Area" localSheetId="19">'Child Welfare Specialty Groups'!$H$2:$AB$31</definedName>
    <definedName name="_xlnm.Print_Area" localSheetId="24">'Clinical Comp'!$A$1:$T$79</definedName>
    <definedName name="_xlnm.Print_Area" localSheetId="22">'Family Skills Dev Group'!$H$1:$U$33</definedName>
    <definedName name="_xlnm.Print_Area" localSheetId="4">'M2021 BLS  SALARY CHART'!$B$1:$E$41</definedName>
    <definedName name="_xlnm.Print_Area" localSheetId="3">'M2022 BLS SALARY CHART (53_PCT)'!$B$1:$E$46</definedName>
    <definedName name="_xlnm.Print_Area" localSheetId="21">'Parent Skill Dev Group'!$H$2:$T$34</definedName>
    <definedName name="_xlnm.Print_Area" localSheetId="23">'Specialty Family Skills Group'!$H$2:$AB$32</definedName>
    <definedName name="_xlnm.Print_Titles" localSheetId="0">'2023 FALL CAF'!$A:$A</definedName>
    <definedName name="_xlnm.Print_Titles" localSheetId="1">'2023 SPRING CAF'!$A:$A</definedName>
    <definedName name="_xlnm.Print_Titles" localSheetId="2">'FALL CAF 2022'!$A:$A</definedName>
    <definedName name="_xlnm.Print_Titles" localSheetId="5">'Spring 2022 CAF'!$A:$A</definedName>
    <definedName name="Program_File" localSheetId="17">#REF!</definedName>
    <definedName name="Program_File" localSheetId="2">#REF!</definedName>
    <definedName name="Program_File" localSheetId="16">#REF!</definedName>
    <definedName name="Program_File">#REF!</definedName>
    <definedName name="Programs">'[12]List of Programs'!$B$3:$B$19</definedName>
    <definedName name="ProvFTE">'[13]FTE Data'!$A$3:$AW$56</definedName>
    <definedName name="PurchasedBy">'[13]FTE Data'!$C$263:$AZ$657</definedName>
    <definedName name="resmay2007" localSheetId="17">#REF!</definedName>
    <definedName name="resmay2007" localSheetId="2">#REF!</definedName>
    <definedName name="resmay2007" localSheetId="16">#REF!</definedName>
    <definedName name="resmay2007">#REF!</definedName>
    <definedName name="sheet1" localSheetId="17">#REF!</definedName>
    <definedName name="sheet1" localSheetId="2">#REF!</definedName>
    <definedName name="sheet1" localSheetId="4">#REF!</definedName>
    <definedName name="sheet1" localSheetId="3">#REF!</definedName>
    <definedName name="sheet1" localSheetId="16">#REF!</definedName>
    <definedName name="sheet1">#REF!</definedName>
    <definedName name="Site_list">[13]Lists!$A$2:$A$53</definedName>
    <definedName name="Source" localSheetId="18">#REF!</definedName>
    <definedName name="Source" localSheetId="19">#REF!</definedName>
    <definedName name="Source" localSheetId="17">#REF!</definedName>
    <definedName name="Source" localSheetId="2">#REF!</definedName>
    <definedName name="Source" localSheetId="22">#REF!</definedName>
    <definedName name="Source" localSheetId="16">#REF!</definedName>
    <definedName name="Source" localSheetId="21">#REF!</definedName>
    <definedName name="Source" localSheetId="23">#REF!</definedName>
    <definedName name="Source">#REF!</definedName>
    <definedName name="Source_2" localSheetId="18">#REF!</definedName>
    <definedName name="Source_2" localSheetId="19">#REF!</definedName>
    <definedName name="Source_2" localSheetId="17">#REF!</definedName>
    <definedName name="Source_2" localSheetId="2">#REF!</definedName>
    <definedName name="Source_2" localSheetId="22">#REF!</definedName>
    <definedName name="Source_2" localSheetId="16">#REF!</definedName>
    <definedName name="Source_2" localSheetId="21">#REF!</definedName>
    <definedName name="Source_2" localSheetId="23">#REF!</definedName>
    <definedName name="Source_2">#REF!</definedName>
    <definedName name="SourcePathAndFileName" localSheetId="17">#REF!</definedName>
    <definedName name="SourcePathAndFileName" localSheetId="2">#REF!</definedName>
    <definedName name="SourcePathAndFileName" localSheetId="16">#REF!</definedName>
    <definedName name="SourcePathAndFileName">#REF!</definedName>
    <definedName name="Total_UFR" localSheetId="18">#REF!</definedName>
    <definedName name="Total_UFR" localSheetId="19">#REF!</definedName>
    <definedName name="Total_UFR" localSheetId="2">#REF!</definedName>
    <definedName name="Total_UFR" localSheetId="22">#REF!</definedName>
    <definedName name="Total_UFR" localSheetId="21">#REF!</definedName>
    <definedName name="Total_UFR" localSheetId="23">#REF!</definedName>
    <definedName name="Total_UFR">#REF!</definedName>
    <definedName name="Total_UFRs" localSheetId="2">#REF!</definedName>
    <definedName name="Total_UFRs">#REF!</definedName>
    <definedName name="Total_UFRs_" localSheetId="2">#REF!</definedName>
    <definedName name="Total_UFRs_">#REF!</definedName>
    <definedName name="UFR" localSheetId="18">'[1]Complete UFR List'!#REF!</definedName>
    <definedName name="UFR" localSheetId="19">'[1]Complete UFR List'!#REF!</definedName>
    <definedName name="UFR" localSheetId="2">'[1]Complete UFR List'!#REF!</definedName>
    <definedName name="UFR" localSheetId="22">'[1]Complete UFR List'!#REF!</definedName>
    <definedName name="UFR" localSheetId="21">'[1]Complete UFR List'!#REF!</definedName>
    <definedName name="UFR" localSheetId="23">'[1]Complete UFR List'!#REF!</definedName>
    <definedName name="UFR">'[1]Complete UFR List'!#REF!</definedName>
    <definedName name="UFRS" localSheetId="18">'[1]Complete UFR List'!#REF!</definedName>
    <definedName name="UFRS" localSheetId="19">'[1]Complete UFR List'!#REF!</definedName>
    <definedName name="UFRS" localSheetId="2">'[1]Complete UFR List'!#REF!</definedName>
    <definedName name="UFRS" localSheetId="22">'[1]Complete UFR List'!#REF!</definedName>
    <definedName name="UFRS" localSheetId="21">'[1]Complete UFR List'!#REF!</definedName>
    <definedName name="UFRS" localSheetId="23">'[1]Complete UFR List'!#REF!</definedName>
    <definedName name="UFRS">'[1]Complete UFR List'!#REF!</definedName>
    <definedName name="UPDATE">'[1]Complete UFR List'!#REF!</definedName>
    <definedName name="wefqwerqwe">'[1]Complete UFR 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P27" i="34" l="1"/>
  <c r="CI27" i="34"/>
  <c r="L36" i="19"/>
  <c r="D79" i="17"/>
  <c r="B71" i="17"/>
  <c r="CJ27" i="34"/>
  <c r="CK27" i="34"/>
  <c r="CL27" i="34"/>
  <c r="CM27" i="34"/>
  <c r="CN27" i="34"/>
  <c r="CO27" i="34"/>
  <c r="CI22" i="34"/>
  <c r="CJ26" i="34" l="1"/>
  <c r="CK26" i="34"/>
  <c r="CL26" i="34"/>
  <c r="CM26" i="34"/>
  <c r="CN26" i="34"/>
  <c r="CO26" i="34"/>
  <c r="CP26" i="34"/>
  <c r="CI26" i="34"/>
  <c r="CR27" i="34"/>
  <c r="CR22" i="34"/>
  <c r="CR29" i="34" l="1"/>
  <c r="Y32" i="19" l="1"/>
  <c r="Q33" i="17"/>
  <c r="Y32" i="14"/>
  <c r="O16" i="23"/>
  <c r="Y32" i="15"/>
  <c r="Y33" i="18"/>
  <c r="AJ35" i="26"/>
  <c r="Y31" i="27"/>
  <c r="Y31" i="13"/>
  <c r="R32" i="20"/>
  <c r="R32" i="21"/>
  <c r="W24" i="12"/>
  <c r="W23" i="12"/>
  <c r="Y14" i="13"/>
  <c r="Y15" i="14"/>
  <c r="Y15" i="15"/>
  <c r="Q16" i="17"/>
  <c r="Y16" i="19"/>
  <c r="Y16" i="18"/>
  <c r="R15" i="20"/>
  <c r="R15" i="21"/>
  <c r="Y15" i="27"/>
  <c r="AJ18" i="26"/>
  <c r="O11" i="23"/>
  <c r="X19" i="24"/>
  <c r="O10" i="23"/>
  <c r="X18" i="24"/>
  <c r="AJ15" i="26"/>
  <c r="Y12" i="27"/>
  <c r="R12" i="21"/>
  <c r="R12" i="20"/>
  <c r="Y12" i="18"/>
  <c r="Y13" i="19"/>
  <c r="Q13" i="17"/>
  <c r="Y12" i="15"/>
  <c r="Y12" i="14"/>
  <c r="Y6" i="14"/>
  <c r="Y11" i="13"/>
  <c r="W11" i="12"/>
  <c r="AJ17" i="26"/>
  <c r="Y14" i="27"/>
  <c r="R14" i="21"/>
  <c r="R14" i="20"/>
  <c r="Y15" i="18"/>
  <c r="Y15" i="19"/>
  <c r="Q15" i="17"/>
  <c r="Y14" i="15"/>
  <c r="Y14" i="14"/>
  <c r="Y13" i="13"/>
  <c r="W22" i="12"/>
  <c r="C6" i="33"/>
  <c r="C7" i="33"/>
  <c r="C8" i="33" s="1"/>
  <c r="C9" i="33"/>
  <c r="C10" i="33"/>
  <c r="C11" i="33"/>
  <c r="C12" i="33"/>
  <c r="C13" i="33"/>
  <c r="C14" i="33" s="1"/>
  <c r="AJ11" i="26" s="1"/>
  <c r="C15" i="33"/>
  <c r="C16" i="33" s="1"/>
  <c r="C17" i="33"/>
  <c r="C18" i="33" s="1"/>
  <c r="Y9" i="18" s="1"/>
  <c r="C19" i="33"/>
  <c r="C20" i="33" s="1"/>
  <c r="AJ10" i="26" s="1"/>
  <c r="C21" i="33"/>
  <c r="C22" i="33"/>
  <c r="X5" i="24" s="1"/>
  <c r="C23" i="33"/>
  <c r="C24" i="33"/>
  <c r="AJ8" i="26" s="1"/>
  <c r="C25" i="33"/>
  <c r="C26" i="33"/>
  <c r="C27" i="33"/>
  <c r="C28" i="33" s="1"/>
  <c r="C29" i="33"/>
  <c r="C30" i="33" s="1"/>
  <c r="C31" i="33"/>
  <c r="C32" i="33" s="1"/>
  <c r="C33" i="33"/>
  <c r="C34" i="33" s="1"/>
  <c r="C36" i="33"/>
  <c r="C46" i="33"/>
  <c r="C47" i="33"/>
  <c r="C50" i="33"/>
  <c r="C51" i="33"/>
  <c r="C52" i="33"/>
  <c r="Q11" i="17" l="1"/>
  <c r="AJ12" i="26"/>
  <c r="R11" i="20"/>
  <c r="W10" i="12"/>
  <c r="Y6" i="15"/>
  <c r="W8" i="12"/>
  <c r="X6" i="24"/>
  <c r="Y8" i="19"/>
  <c r="Q7" i="17"/>
  <c r="Y8" i="18"/>
  <c r="W7" i="12"/>
  <c r="Y7" i="15"/>
  <c r="AJ7" i="26"/>
  <c r="Y7" i="14"/>
  <c r="R7" i="21"/>
  <c r="Y10" i="15"/>
  <c r="Y10" i="27"/>
  <c r="Q8" i="17"/>
  <c r="Y10" i="13"/>
  <c r="Y11" i="14"/>
  <c r="Y11" i="19"/>
  <c r="W12" i="12"/>
  <c r="R10" i="20"/>
  <c r="AJ13" i="26"/>
  <c r="Y11" i="18"/>
  <c r="R10" i="21"/>
  <c r="Y9" i="19"/>
  <c r="Y10" i="19"/>
  <c r="AJ14" i="26"/>
  <c r="Y6" i="13"/>
  <c r="Y8" i="14"/>
  <c r="Y9" i="15"/>
  <c r="Q12" i="17"/>
  <c r="R9" i="20"/>
  <c r="Q9" i="17"/>
  <c r="C49" i="33"/>
  <c r="R8" i="21"/>
  <c r="Y8" i="15"/>
  <c r="R6" i="20"/>
  <c r="AJ6" i="26"/>
  <c r="W6" i="12"/>
  <c r="Y7" i="13"/>
  <c r="Y9" i="14"/>
  <c r="Y7" i="18"/>
  <c r="Y7" i="27"/>
  <c r="O6" i="23"/>
  <c r="Y11" i="27"/>
  <c r="Q10" i="17"/>
  <c r="X7" i="24"/>
  <c r="Y8" i="13"/>
  <c r="Y10" i="14"/>
  <c r="Q6" i="17"/>
  <c r="Y6" i="19"/>
  <c r="Y8" i="27"/>
  <c r="AJ9" i="26"/>
  <c r="O7" i="23"/>
  <c r="C48" i="33"/>
  <c r="Y11" i="15"/>
  <c r="Y9" i="13"/>
  <c r="Y7" i="19"/>
  <c r="Y9" i="27"/>
  <c r="O8" i="23"/>
  <c r="W9" i="12"/>
  <c r="Y10" i="18"/>
  <c r="R6" i="21"/>
  <c r="CF23" i="32"/>
  <c r="CG23" i="32"/>
  <c r="CH23" i="32"/>
  <c r="CI23" i="32"/>
  <c r="CJ23" i="32"/>
  <c r="CK23" i="32"/>
  <c r="CL23" i="32"/>
  <c r="CE23" i="32"/>
  <c r="CF24" i="32"/>
  <c r="CG24" i="32"/>
  <c r="CH24" i="32"/>
  <c r="CI24" i="32"/>
  <c r="CJ24" i="32"/>
  <c r="CK24" i="32"/>
  <c r="CL24" i="32"/>
  <c r="CE24" i="32"/>
  <c r="CE20" i="32"/>
  <c r="CN20" i="32" s="1"/>
  <c r="CN24" i="32"/>
  <c r="CN26" i="32" l="1"/>
  <c r="CA22" i="31"/>
  <c r="CB22" i="31"/>
  <c r="CC22" i="31"/>
  <c r="CD22" i="31"/>
  <c r="CE22" i="31"/>
  <c r="CF22" i="31"/>
  <c r="CG22" i="31"/>
  <c r="BZ22" i="31"/>
  <c r="CA21" i="31"/>
  <c r="CB21" i="31"/>
  <c r="CC21" i="31"/>
  <c r="CD21" i="31"/>
  <c r="CE21" i="31"/>
  <c r="CF21" i="31"/>
  <c r="CG21" i="31"/>
  <c r="BZ21" i="31"/>
  <c r="BZ18" i="31"/>
  <c r="CI18" i="31" s="1"/>
  <c r="CI22" i="31"/>
  <c r="CI24" i="31" l="1"/>
  <c r="W20" i="24" l="1"/>
  <c r="B9" i="12" l="1"/>
  <c r="B4" i="12"/>
  <c r="C12" i="26"/>
  <c r="C22" i="26"/>
  <c r="C17" i="26"/>
  <c r="D17" i="26" l="1"/>
  <c r="D22" i="26"/>
  <c r="T13" i="26"/>
  <c r="M10" i="26"/>
  <c r="A9" i="26" s="1"/>
  <c r="B9" i="27"/>
  <c r="D8" i="27"/>
  <c r="D10" i="21"/>
  <c r="B7" i="21"/>
  <c r="B8" i="20"/>
  <c r="D8" i="19"/>
  <c r="P8" i="19"/>
  <c r="I8" i="19"/>
  <c r="B7" i="19"/>
  <c r="B8" i="18"/>
  <c r="J54" i="17"/>
  <c r="C51" i="17"/>
  <c r="A52" i="17"/>
  <c r="H53" i="17" s="1"/>
  <c r="C8" i="17"/>
  <c r="J9" i="17"/>
  <c r="H10" i="17"/>
  <c r="A9" i="17"/>
  <c r="S17" i="12"/>
  <c r="Q9" i="12"/>
  <c r="S8" i="12"/>
  <c r="S12" i="12" s="1"/>
  <c r="D9" i="15"/>
  <c r="P9" i="15"/>
  <c r="B8" i="15"/>
  <c r="B8" i="14"/>
  <c r="R8" i="13"/>
  <c r="P7" i="13"/>
  <c r="I8" i="13"/>
  <c r="B7" i="13"/>
  <c r="B8" i="12"/>
  <c r="K8" i="12"/>
  <c r="D9" i="12"/>
  <c r="R27" i="12" l="1"/>
  <c r="R15" i="12" l="1"/>
  <c r="W19" i="12"/>
  <c r="S22" i="12" l="1"/>
  <c r="K22" i="12"/>
  <c r="D22" i="12"/>
  <c r="CG21" i="29" l="1"/>
  <c r="CF21" i="29"/>
  <c r="CE21" i="29"/>
  <c r="CD21" i="29"/>
  <c r="CC21" i="29"/>
  <c r="CB21" i="29"/>
  <c r="CA21" i="29"/>
  <c r="BZ21" i="29"/>
  <c r="CG20" i="29"/>
  <c r="CF20" i="29"/>
  <c r="CE20" i="29"/>
  <c r="CD20" i="29"/>
  <c r="CC20" i="29"/>
  <c r="CB20" i="29"/>
  <c r="CA20" i="29"/>
  <c r="BZ20" i="29"/>
  <c r="BZ17" i="29"/>
  <c r="CI17" i="29" s="1"/>
  <c r="BZ16" i="29"/>
  <c r="CI21" i="29" l="1"/>
  <c r="CI23" i="29" s="1"/>
  <c r="X20" i="24" s="1"/>
  <c r="C29" i="14" l="1"/>
  <c r="C26" i="20"/>
  <c r="C25" i="27"/>
  <c r="C27" i="18"/>
  <c r="C27" i="13"/>
  <c r="Q27" i="13" s="1"/>
  <c r="C27" i="21"/>
  <c r="C46" i="28"/>
  <c r="C33" i="28"/>
  <c r="C34" i="28" s="1"/>
  <c r="C31" i="28"/>
  <c r="C32" i="28" s="1"/>
  <c r="C29" i="28"/>
  <c r="C30" i="28" s="1"/>
  <c r="C27" i="28"/>
  <c r="C28" i="28" s="1"/>
  <c r="R5" i="12" s="1"/>
  <c r="T5" i="12" s="1"/>
  <c r="C25" i="28"/>
  <c r="C26" i="28" s="1"/>
  <c r="C23" i="28"/>
  <c r="C24" i="28" s="1"/>
  <c r="C22" i="28"/>
  <c r="C21" i="28"/>
  <c r="C19" i="28"/>
  <c r="C20" i="28" s="1"/>
  <c r="C17" i="28"/>
  <c r="C18" i="28" s="1"/>
  <c r="C15" i="28"/>
  <c r="C16" i="28" s="1"/>
  <c r="C13" i="28"/>
  <c r="C11" i="28"/>
  <c r="C12" i="28" s="1"/>
  <c r="C9" i="28"/>
  <c r="C10" i="28" s="1"/>
  <c r="C7" i="28"/>
  <c r="C8" i="28" s="1"/>
  <c r="C5" i="28"/>
  <c r="C6" i="28" s="1"/>
  <c r="C8" i="18" s="1"/>
  <c r="J9" i="23" l="1"/>
  <c r="J7" i="23"/>
  <c r="J27" i="13"/>
  <c r="D29" i="12"/>
  <c r="K29" i="12"/>
  <c r="R29" i="12"/>
  <c r="I71" i="17"/>
  <c r="I29" i="17"/>
  <c r="B29" i="17"/>
  <c r="C28" i="19"/>
  <c r="J28" i="19"/>
  <c r="Q28" i="19"/>
  <c r="Q28" i="15"/>
  <c r="C28" i="15"/>
  <c r="U31" i="26"/>
  <c r="G29" i="26"/>
  <c r="C29" i="26" s="1"/>
  <c r="N29" i="26"/>
  <c r="B50" i="17"/>
  <c r="I51" i="17"/>
  <c r="R4" i="12"/>
  <c r="C36" i="28"/>
  <c r="I48" i="17"/>
  <c r="C5" i="15"/>
  <c r="C5" i="14"/>
  <c r="J4" i="13"/>
  <c r="C4" i="13" s="1"/>
  <c r="C4" i="14"/>
  <c r="C4" i="27"/>
  <c r="U9" i="26"/>
  <c r="C8" i="21"/>
  <c r="Q8" i="15"/>
  <c r="C9" i="14"/>
  <c r="C9" i="18"/>
  <c r="C7" i="20"/>
  <c r="C8" i="27"/>
  <c r="Q9" i="19"/>
  <c r="J4" i="12"/>
  <c r="C4" i="12"/>
  <c r="C6" i="20"/>
  <c r="C7" i="27"/>
  <c r="C6" i="18"/>
  <c r="C5" i="27"/>
  <c r="B5" i="26"/>
  <c r="D5" i="26" s="1"/>
  <c r="C6" i="21"/>
  <c r="J5" i="19"/>
  <c r="C6" i="14"/>
  <c r="J5" i="13"/>
  <c r="U11" i="26"/>
  <c r="C4" i="19"/>
  <c r="C14" i="28"/>
  <c r="Q5" i="19"/>
  <c r="C5" i="21"/>
  <c r="C8" i="14"/>
  <c r="E8" i="14" s="1"/>
  <c r="C4" i="18"/>
  <c r="C4" i="21"/>
  <c r="J8" i="13"/>
  <c r="L8" i="13" s="1"/>
  <c r="C5" i="18"/>
  <c r="C4" i="20"/>
  <c r="U10" i="26"/>
  <c r="J4" i="19"/>
  <c r="J8" i="23" l="1"/>
  <c r="J9" i="19"/>
  <c r="C8" i="19"/>
  <c r="C9" i="15"/>
  <c r="C8" i="15"/>
  <c r="Q9" i="15"/>
  <c r="S9" i="15" s="1"/>
  <c r="C7" i="19"/>
  <c r="C8" i="20"/>
  <c r="E8" i="20" s="1"/>
  <c r="C7" i="21"/>
  <c r="C9" i="27"/>
  <c r="E9" i="27" s="1"/>
  <c r="B5" i="17"/>
  <c r="B48" i="17"/>
  <c r="I47" i="17"/>
  <c r="B47" i="17"/>
  <c r="B51" i="17"/>
  <c r="I52" i="17"/>
  <c r="B49" i="17"/>
  <c r="I50" i="17"/>
  <c r="R9" i="12"/>
  <c r="T9" i="12" s="1"/>
  <c r="R8" i="12"/>
  <c r="T8" i="12" s="1"/>
  <c r="R7" i="12"/>
  <c r="T7" i="12" s="1"/>
  <c r="Q7" i="13"/>
  <c r="C7" i="13"/>
  <c r="Q7" i="15"/>
  <c r="Q4" i="13"/>
  <c r="I5" i="17"/>
  <c r="C6" i="12"/>
  <c r="J5" i="12"/>
  <c r="G5" i="26"/>
  <c r="N6" i="26"/>
  <c r="U8" i="26"/>
  <c r="I4" i="17"/>
  <c r="B4" i="17"/>
  <c r="C5" i="20"/>
  <c r="Q7" i="19"/>
  <c r="I49" i="17"/>
  <c r="C7" i="18"/>
  <c r="C7" i="14"/>
  <c r="C6" i="27"/>
  <c r="U5" i="26"/>
  <c r="N5" i="26"/>
  <c r="Q5" i="13"/>
  <c r="J6" i="13"/>
  <c r="C5" i="13" s="1"/>
  <c r="B7" i="17"/>
  <c r="I8" i="17"/>
  <c r="C5" i="12"/>
  <c r="Q4" i="19"/>
  <c r="G4" i="26"/>
  <c r="B4" i="26" s="1"/>
  <c r="D4" i="26" s="1"/>
  <c r="N4" i="26"/>
  <c r="U4" i="26"/>
  <c r="J7" i="12"/>
  <c r="C8" i="12"/>
  <c r="Q6" i="19"/>
  <c r="J7" i="19"/>
  <c r="C6" i="19"/>
  <c r="J9" i="13"/>
  <c r="C8" i="13" s="1"/>
  <c r="Q8" i="13"/>
  <c r="C6" i="15"/>
  <c r="Q5" i="15"/>
  <c r="I6" i="17"/>
  <c r="B6" i="17"/>
  <c r="J8" i="12"/>
  <c r="C9" i="12"/>
  <c r="N9" i="26"/>
  <c r="U12" i="26"/>
  <c r="G9" i="26"/>
  <c r="B8" i="26" s="1"/>
  <c r="D8" i="26" s="1"/>
  <c r="J6" i="19"/>
  <c r="C5" i="19"/>
  <c r="Q4" i="15"/>
  <c r="C4" i="15"/>
  <c r="G7" i="26"/>
  <c r="B6" i="26" s="1"/>
  <c r="D6" i="26" s="1"/>
  <c r="N8" i="26"/>
  <c r="U7" i="26"/>
  <c r="B8" i="17"/>
  <c r="I9" i="17"/>
  <c r="N36" i="25"/>
  <c r="N34" i="25"/>
  <c r="N33" i="25"/>
  <c r="N20" i="25"/>
  <c r="N21" i="25"/>
  <c r="N22" i="25"/>
  <c r="N23" i="25"/>
  <c r="J8" i="19" l="1"/>
  <c r="Q8" i="19"/>
  <c r="B9" i="17"/>
  <c r="D9" i="17" s="1"/>
  <c r="B52" i="17"/>
  <c r="D52" i="17" s="1"/>
  <c r="I10" i="17"/>
  <c r="K10" i="17" s="1"/>
  <c r="I53" i="17"/>
  <c r="K53" i="17" s="1"/>
  <c r="G8" i="26"/>
  <c r="U13" i="26"/>
  <c r="W13" i="26" s="1"/>
  <c r="N10" i="26"/>
  <c r="P10" i="26" s="1"/>
  <c r="R6" i="12"/>
  <c r="T6" i="12" s="1"/>
  <c r="Q6" i="13"/>
  <c r="S6" i="13" s="1"/>
  <c r="J7" i="13"/>
  <c r="J6" i="12"/>
  <c r="L6" i="12" s="1"/>
  <c r="C7" i="12"/>
  <c r="E7" i="12" s="1"/>
  <c r="C7" i="15"/>
  <c r="E7" i="15" s="1"/>
  <c r="Q6" i="15"/>
  <c r="S6" i="15" s="1"/>
  <c r="I7" i="17"/>
  <c r="K7" i="17" s="1"/>
  <c r="G6" i="26"/>
  <c r="N7" i="26"/>
  <c r="P7" i="26" s="1"/>
  <c r="U6" i="26"/>
  <c r="W6" i="26" s="1"/>
  <c r="Z25" i="27"/>
  <c r="AA25" i="27"/>
  <c r="AB25" i="27"/>
  <c r="AC25" i="27"/>
  <c r="AD25" i="27"/>
  <c r="AE25" i="27"/>
  <c r="AF25" i="27"/>
  <c r="AG25" i="27"/>
  <c r="Z26" i="27"/>
  <c r="AA26" i="27"/>
  <c r="AB26" i="27"/>
  <c r="AC26" i="27"/>
  <c r="AD26" i="27"/>
  <c r="AE26" i="27"/>
  <c r="AF26" i="27"/>
  <c r="AG26" i="27"/>
  <c r="E8" i="27"/>
  <c r="AK28" i="26"/>
  <c r="AL28" i="26"/>
  <c r="AM28" i="26"/>
  <c r="AN28" i="26"/>
  <c r="AO28" i="26"/>
  <c r="AP28" i="26"/>
  <c r="AQ28" i="26"/>
  <c r="AR28" i="26"/>
  <c r="AK29" i="26"/>
  <c r="AL29" i="26"/>
  <c r="AM29" i="26"/>
  <c r="AN29" i="26"/>
  <c r="AO29" i="26"/>
  <c r="AP29" i="26"/>
  <c r="AQ29" i="26"/>
  <c r="AR29" i="26"/>
  <c r="H9" i="26"/>
  <c r="J10" i="26" s="1"/>
  <c r="H17" i="26"/>
  <c r="AJ20" i="26"/>
  <c r="AJ21" i="26"/>
  <c r="AJ22" i="26"/>
  <c r="AJ23" i="26"/>
  <c r="H22" i="26"/>
  <c r="AJ25" i="26"/>
  <c r="I9" i="26"/>
  <c r="J5" i="26"/>
  <c r="I5" i="26"/>
  <c r="I7" i="26"/>
  <c r="C23" i="27"/>
  <c r="E5" i="27"/>
  <c r="E6" i="27"/>
  <c r="E7" i="27"/>
  <c r="C13" i="27"/>
  <c r="D15" i="27"/>
  <c r="Y17" i="27"/>
  <c r="D16" i="27" s="1"/>
  <c r="Y18" i="27"/>
  <c r="D17" i="27" s="1"/>
  <c r="Y19" i="27"/>
  <c r="D18" i="27" s="1"/>
  <c r="Y20" i="27"/>
  <c r="D19" i="27" s="1"/>
  <c r="Y22" i="27"/>
  <c r="E28" i="27"/>
  <c r="U29" i="26"/>
  <c r="W5" i="26"/>
  <c r="W7" i="26"/>
  <c r="W8" i="26"/>
  <c r="W9" i="26"/>
  <c r="W10" i="26"/>
  <c r="W11" i="26"/>
  <c r="U17" i="26"/>
  <c r="V19" i="26"/>
  <c r="V24" i="26"/>
  <c r="N27" i="26"/>
  <c r="P5" i="26"/>
  <c r="P6" i="26"/>
  <c r="P8" i="26"/>
  <c r="O9" i="26"/>
  <c r="Q10" i="26" s="1"/>
  <c r="N15" i="26"/>
  <c r="O17" i="26"/>
  <c r="O22" i="26"/>
  <c r="G27" i="26"/>
  <c r="B27" i="26" s="1"/>
  <c r="G15" i="26"/>
  <c r="B15" i="26" s="1"/>
  <c r="F7" i="27"/>
  <c r="F6" i="27"/>
  <c r="F5" i="27"/>
  <c r="X12" i="26"/>
  <c r="X11" i="26"/>
  <c r="X10" i="26"/>
  <c r="X9" i="26"/>
  <c r="X8" i="26"/>
  <c r="Q8" i="26"/>
  <c r="J8" i="26"/>
  <c r="X7" i="26"/>
  <c r="Q7" i="26"/>
  <c r="J7" i="26"/>
  <c r="X6" i="26"/>
  <c r="Q6" i="26"/>
  <c r="J6" i="26"/>
  <c r="X5" i="26"/>
  <c r="Q5" i="26"/>
  <c r="H9" i="24"/>
  <c r="I5" i="12"/>
  <c r="I6" i="12"/>
  <c r="I7" i="12"/>
  <c r="I8" i="12"/>
  <c r="I4" i="12"/>
  <c r="D19" i="20"/>
  <c r="X63" i="24"/>
  <c r="X55" i="24"/>
  <c r="X56" i="24" s="1"/>
  <c r="X52" i="24"/>
  <c r="X48" i="24"/>
  <c r="X49" i="24" s="1"/>
  <c r="T46" i="24"/>
  <c r="F28" i="24"/>
  <c r="F29" i="24" s="1"/>
  <c r="J26" i="24"/>
  <c r="D25" i="24"/>
  <c r="R26" i="24"/>
  <c r="O24" i="24"/>
  <c r="L22" i="24"/>
  <c r="R21" i="24"/>
  <c r="T21" i="24" s="1"/>
  <c r="L21" i="24"/>
  <c r="J28" i="24"/>
  <c r="R20" i="24"/>
  <c r="T20" i="24" s="1"/>
  <c r="L20" i="24"/>
  <c r="T19" i="24"/>
  <c r="L19" i="24"/>
  <c r="R18" i="24"/>
  <c r="T18" i="24" s="1"/>
  <c r="L18" i="24"/>
  <c r="R17" i="24"/>
  <c r="T17" i="24" s="1"/>
  <c r="P17" i="24"/>
  <c r="L17" i="24"/>
  <c r="L16" i="24"/>
  <c r="R13" i="24"/>
  <c r="J13" i="24"/>
  <c r="R9" i="24"/>
  <c r="T9" i="24" s="1"/>
  <c r="K7" i="24"/>
  <c r="H7" i="24"/>
  <c r="J8" i="24"/>
  <c r="L8" i="24" s="1"/>
  <c r="R7" i="24"/>
  <c r="T7" i="24" s="1"/>
  <c r="U4" i="24"/>
  <c r="U24" i="24" s="1"/>
  <c r="J20" i="23"/>
  <c r="J13" i="23"/>
  <c r="K10" i="23"/>
  <c r="F23" i="23"/>
  <c r="D22" i="23"/>
  <c r="J23" i="23"/>
  <c r="L9" i="23"/>
  <c r="N8" i="23"/>
  <c r="L8" i="23"/>
  <c r="L7" i="23"/>
  <c r="N6" i="23"/>
  <c r="J7" i="24"/>
  <c r="L7" i="24" s="1"/>
  <c r="E30" i="21"/>
  <c r="C25" i="21"/>
  <c r="Z26" i="21"/>
  <c r="Y26" i="21"/>
  <c r="X26" i="21"/>
  <c r="W26" i="21"/>
  <c r="V26" i="21"/>
  <c r="U26" i="21"/>
  <c r="T26" i="21"/>
  <c r="S26" i="21"/>
  <c r="Z25" i="21"/>
  <c r="Y25" i="21"/>
  <c r="X25" i="21"/>
  <c r="W25" i="21"/>
  <c r="V25" i="21"/>
  <c r="U25" i="21"/>
  <c r="T25" i="21"/>
  <c r="S25" i="21"/>
  <c r="D20" i="21"/>
  <c r="R22" i="21"/>
  <c r="D21" i="21" s="1"/>
  <c r="R20" i="21"/>
  <c r="D19" i="21" s="1"/>
  <c r="R19" i="21"/>
  <c r="D18" i="21" s="1"/>
  <c r="D15" i="21"/>
  <c r="R18" i="21"/>
  <c r="D17" i="21" s="1"/>
  <c r="R17" i="21"/>
  <c r="D16" i="21" s="1"/>
  <c r="C13" i="21"/>
  <c r="F6" i="21"/>
  <c r="E6" i="21"/>
  <c r="F5" i="21"/>
  <c r="E5" i="21"/>
  <c r="E28" i="20"/>
  <c r="C24" i="20"/>
  <c r="D14" i="20"/>
  <c r="C12" i="20"/>
  <c r="D7" i="20"/>
  <c r="F8" i="20" s="1"/>
  <c r="F6" i="20"/>
  <c r="E6" i="20"/>
  <c r="F5" i="20"/>
  <c r="E5" i="20"/>
  <c r="Z26" i="20"/>
  <c r="Y26" i="20"/>
  <c r="X26" i="20"/>
  <c r="W26" i="20"/>
  <c r="V26" i="20"/>
  <c r="U26" i="20"/>
  <c r="T26" i="20"/>
  <c r="S26" i="20"/>
  <c r="Z25" i="20"/>
  <c r="Y25" i="20"/>
  <c r="X25" i="20"/>
  <c r="W25" i="20"/>
  <c r="V25" i="20"/>
  <c r="U25" i="20"/>
  <c r="T25" i="20"/>
  <c r="S25" i="20"/>
  <c r="R22" i="20"/>
  <c r="D20" i="20" s="1"/>
  <c r="R20" i="20"/>
  <c r="D18" i="20" s="1"/>
  <c r="R19" i="20"/>
  <c r="D17" i="20" s="1"/>
  <c r="R18" i="20"/>
  <c r="D16" i="20" s="1"/>
  <c r="R17" i="20"/>
  <c r="D15" i="20" s="1"/>
  <c r="Q26" i="15"/>
  <c r="R21" i="15"/>
  <c r="R16" i="15"/>
  <c r="Q14" i="15"/>
  <c r="R8" i="15"/>
  <c r="S8" i="15" s="1"/>
  <c r="S7" i="15"/>
  <c r="T7" i="15"/>
  <c r="T6" i="15"/>
  <c r="S5" i="15"/>
  <c r="T5" i="15"/>
  <c r="S30" i="13"/>
  <c r="Q25" i="13"/>
  <c r="R20" i="13"/>
  <c r="R15" i="13"/>
  <c r="Q13" i="13"/>
  <c r="T7" i="13"/>
  <c r="T6" i="13"/>
  <c r="S5" i="13"/>
  <c r="T5" i="13"/>
  <c r="L32" i="12"/>
  <c r="J27" i="12"/>
  <c r="K17" i="12"/>
  <c r="J15" i="12"/>
  <c r="M9" i="12"/>
  <c r="M7" i="12"/>
  <c r="M6" i="12"/>
  <c r="L5" i="12"/>
  <c r="M5" i="12"/>
  <c r="I32" i="15"/>
  <c r="J26" i="15"/>
  <c r="K21" i="15"/>
  <c r="K16" i="15"/>
  <c r="J14" i="15"/>
  <c r="K9" i="15"/>
  <c r="M9" i="15" s="1"/>
  <c r="J9" i="15"/>
  <c r="J8" i="15"/>
  <c r="M7" i="15"/>
  <c r="J7" i="15"/>
  <c r="L7" i="15" s="1"/>
  <c r="M6" i="15"/>
  <c r="J6" i="15"/>
  <c r="L6" i="15" s="1"/>
  <c r="M5" i="15"/>
  <c r="J5" i="15"/>
  <c r="L5" i="15" s="1"/>
  <c r="J4" i="15"/>
  <c r="L30" i="13"/>
  <c r="J25" i="13"/>
  <c r="K20" i="13"/>
  <c r="K15" i="13"/>
  <c r="J13" i="13"/>
  <c r="K9" i="13"/>
  <c r="L9" i="13" s="1"/>
  <c r="M7" i="13"/>
  <c r="M6" i="13"/>
  <c r="L6" i="13"/>
  <c r="M5" i="13"/>
  <c r="L5" i="13"/>
  <c r="I33" i="19"/>
  <c r="L30" i="19"/>
  <c r="J26" i="19"/>
  <c r="K21" i="19"/>
  <c r="K16" i="19"/>
  <c r="J14" i="19"/>
  <c r="M8" i="19"/>
  <c r="M7" i="19"/>
  <c r="L7" i="19"/>
  <c r="K6" i="19"/>
  <c r="M6" i="19" s="1"/>
  <c r="M5" i="19"/>
  <c r="L5" i="19"/>
  <c r="B86" i="19"/>
  <c r="P33" i="19"/>
  <c r="B33" i="19"/>
  <c r="C81" i="19"/>
  <c r="Q26" i="19"/>
  <c r="C26" i="19"/>
  <c r="D73" i="19"/>
  <c r="R21" i="19"/>
  <c r="D21" i="19"/>
  <c r="D68" i="19"/>
  <c r="R16" i="19"/>
  <c r="D16" i="19"/>
  <c r="C66" i="19"/>
  <c r="Q14" i="19"/>
  <c r="C14" i="19"/>
  <c r="D60" i="19"/>
  <c r="F60" i="19" s="1"/>
  <c r="C60" i="19"/>
  <c r="R9" i="19"/>
  <c r="C59" i="19"/>
  <c r="F58" i="19"/>
  <c r="E58" i="19"/>
  <c r="F57" i="19"/>
  <c r="E57" i="19"/>
  <c r="F56" i="19"/>
  <c r="E56" i="19"/>
  <c r="T8" i="19"/>
  <c r="F8" i="19"/>
  <c r="F55" i="19"/>
  <c r="E55" i="19"/>
  <c r="T7" i="19"/>
  <c r="S7" i="19"/>
  <c r="F7" i="19"/>
  <c r="F54" i="19"/>
  <c r="E54" i="19"/>
  <c r="T6" i="19"/>
  <c r="S6" i="19"/>
  <c r="F6" i="19"/>
  <c r="E6" i="19"/>
  <c r="F53" i="19"/>
  <c r="E53" i="19"/>
  <c r="T5" i="19"/>
  <c r="S5" i="19"/>
  <c r="F5" i="19"/>
  <c r="E5" i="19"/>
  <c r="J33" i="19"/>
  <c r="AG27" i="19"/>
  <c r="AF27" i="19"/>
  <c r="AE27" i="19"/>
  <c r="AD27" i="19"/>
  <c r="AC27" i="19"/>
  <c r="AB27" i="19"/>
  <c r="AA27" i="19"/>
  <c r="Z27" i="19"/>
  <c r="AG26" i="19"/>
  <c r="AF26" i="19"/>
  <c r="AE26" i="19"/>
  <c r="AD26" i="19"/>
  <c r="AC26" i="19"/>
  <c r="AB26" i="19"/>
  <c r="AA26" i="19"/>
  <c r="Z26" i="19"/>
  <c r="Y23" i="19"/>
  <c r="K22" i="19" s="1"/>
  <c r="Y21" i="19"/>
  <c r="R20" i="19" s="1"/>
  <c r="Y20" i="19"/>
  <c r="D19" i="19" s="1"/>
  <c r="Y19" i="19"/>
  <c r="D18" i="19" s="1"/>
  <c r="Y18" i="19"/>
  <c r="D69" i="19" s="1"/>
  <c r="C25" i="18"/>
  <c r="D20" i="18"/>
  <c r="D15" i="18"/>
  <c r="C13" i="18"/>
  <c r="D9" i="18"/>
  <c r="F9" i="18" s="1"/>
  <c r="F7" i="18"/>
  <c r="E7" i="18"/>
  <c r="F6" i="18"/>
  <c r="E6" i="18"/>
  <c r="F5" i="18"/>
  <c r="E5" i="18"/>
  <c r="AG27" i="18"/>
  <c r="AF27" i="18"/>
  <c r="AE27" i="18"/>
  <c r="AD27" i="18"/>
  <c r="AC27" i="18"/>
  <c r="AB27" i="18"/>
  <c r="AA27" i="18"/>
  <c r="Z27" i="18"/>
  <c r="AG26" i="18"/>
  <c r="AF26" i="18"/>
  <c r="AE26" i="18"/>
  <c r="AD26" i="18"/>
  <c r="AC26" i="18"/>
  <c r="AB26" i="18"/>
  <c r="AA26" i="18"/>
  <c r="Z26" i="18"/>
  <c r="Y23" i="18"/>
  <c r="D21" i="18" s="1"/>
  <c r="Y21" i="18"/>
  <c r="D19" i="18" s="1"/>
  <c r="Y20" i="18"/>
  <c r="Y19" i="18"/>
  <c r="Y18" i="18"/>
  <c r="D16" i="18" s="1"/>
  <c r="D74" i="17"/>
  <c r="K74" i="17" s="1"/>
  <c r="D32" i="17"/>
  <c r="B69" i="17"/>
  <c r="B27" i="17"/>
  <c r="C64" i="17"/>
  <c r="C22" i="17"/>
  <c r="C59" i="17"/>
  <c r="C17" i="17"/>
  <c r="B57" i="17"/>
  <c r="B15" i="17"/>
  <c r="E9" i="17"/>
  <c r="E51" i="17"/>
  <c r="D7" i="17"/>
  <c r="E50" i="17"/>
  <c r="D50" i="17"/>
  <c r="E7" i="17"/>
  <c r="E49" i="17"/>
  <c r="D49" i="17"/>
  <c r="E6" i="17"/>
  <c r="D6" i="17"/>
  <c r="E48" i="17"/>
  <c r="D48" i="17"/>
  <c r="E5" i="17"/>
  <c r="D5" i="17"/>
  <c r="S52" i="17"/>
  <c r="S50" i="17"/>
  <c r="S49" i="17"/>
  <c r="S48" i="17"/>
  <c r="S47" i="17"/>
  <c r="I69" i="17"/>
  <c r="I27" i="17"/>
  <c r="J64" i="17"/>
  <c r="J22" i="17"/>
  <c r="J59" i="17"/>
  <c r="J17" i="17"/>
  <c r="I57" i="17"/>
  <c r="I15" i="17"/>
  <c r="K9" i="17"/>
  <c r="L52" i="17"/>
  <c r="K52" i="17"/>
  <c r="L51" i="17"/>
  <c r="K51" i="17"/>
  <c r="L8" i="17"/>
  <c r="K8" i="17"/>
  <c r="L50" i="17"/>
  <c r="K50" i="17"/>
  <c r="L7" i="17"/>
  <c r="L49" i="17"/>
  <c r="K49" i="17"/>
  <c r="L6" i="17"/>
  <c r="K6" i="17"/>
  <c r="L48" i="17"/>
  <c r="K48" i="17"/>
  <c r="L5" i="17"/>
  <c r="K5" i="17"/>
  <c r="Y27" i="17"/>
  <c r="X27" i="17"/>
  <c r="W27" i="17"/>
  <c r="V27" i="17"/>
  <c r="U27" i="17"/>
  <c r="T27" i="17"/>
  <c r="S27" i="17"/>
  <c r="R27" i="17"/>
  <c r="Y26" i="17"/>
  <c r="X26" i="17"/>
  <c r="W26" i="17"/>
  <c r="V26" i="17"/>
  <c r="U26" i="17"/>
  <c r="T26" i="17"/>
  <c r="S26" i="17"/>
  <c r="R26" i="17"/>
  <c r="Q23" i="17"/>
  <c r="C23" i="17" s="1"/>
  <c r="Q21" i="17"/>
  <c r="C63" i="17" s="1"/>
  <c r="Q20" i="17"/>
  <c r="J62" i="17" s="1"/>
  <c r="Q19" i="17"/>
  <c r="C19" i="17" s="1"/>
  <c r="Q18" i="17"/>
  <c r="C60" i="17" s="1"/>
  <c r="C26" i="15"/>
  <c r="D21" i="15"/>
  <c r="D16" i="15"/>
  <c r="C14" i="15"/>
  <c r="F10" i="15"/>
  <c r="F8" i="15"/>
  <c r="F7" i="15"/>
  <c r="F6" i="15"/>
  <c r="E6" i="15"/>
  <c r="F5" i="15"/>
  <c r="E5" i="15"/>
  <c r="AG26" i="15"/>
  <c r="AF26" i="15"/>
  <c r="AE26" i="15"/>
  <c r="AD26" i="15"/>
  <c r="AC26" i="15"/>
  <c r="AB26" i="15"/>
  <c r="AA26" i="15"/>
  <c r="Z26" i="15"/>
  <c r="AG25" i="15"/>
  <c r="AF25" i="15"/>
  <c r="AE25" i="15"/>
  <c r="AD25" i="15"/>
  <c r="AC25" i="15"/>
  <c r="AB25" i="15"/>
  <c r="AA25" i="15"/>
  <c r="Z25" i="15"/>
  <c r="Y22" i="15"/>
  <c r="R22" i="15" s="1"/>
  <c r="Y20" i="15"/>
  <c r="R20" i="15" s="1"/>
  <c r="Y19" i="15"/>
  <c r="K19" i="15" s="1"/>
  <c r="Y18" i="15"/>
  <c r="R18" i="15" s="1"/>
  <c r="Y17" i="15"/>
  <c r="K17" i="15" s="1"/>
  <c r="I32" i="14"/>
  <c r="L30" i="14"/>
  <c r="J27" i="14"/>
  <c r="K22" i="14"/>
  <c r="K17" i="14"/>
  <c r="J15" i="14"/>
  <c r="J9" i="14"/>
  <c r="J8" i="14"/>
  <c r="K7" i="14"/>
  <c r="M7" i="14" s="1"/>
  <c r="J7" i="14"/>
  <c r="K6" i="14"/>
  <c r="M6" i="14" s="1"/>
  <c r="J6" i="14"/>
  <c r="K5" i="14"/>
  <c r="M5" i="14" s="1"/>
  <c r="J5" i="14"/>
  <c r="J4" i="14"/>
  <c r="E32" i="14"/>
  <c r="C27" i="14"/>
  <c r="D22" i="14"/>
  <c r="D17" i="14"/>
  <c r="C15" i="14"/>
  <c r="D7" i="14"/>
  <c r="F7" i="14" s="1"/>
  <c r="D6" i="14"/>
  <c r="F6" i="14" s="1"/>
  <c r="D5" i="14"/>
  <c r="AG26" i="14"/>
  <c r="AF26" i="14"/>
  <c r="AE26" i="14"/>
  <c r="AD26" i="14"/>
  <c r="AC26" i="14"/>
  <c r="AB26" i="14"/>
  <c r="AA26" i="14"/>
  <c r="Z26" i="14"/>
  <c r="AG25" i="14"/>
  <c r="AF25" i="14"/>
  <c r="AE25" i="14"/>
  <c r="AD25" i="14"/>
  <c r="AC25" i="14"/>
  <c r="AB25" i="14"/>
  <c r="AA25" i="14"/>
  <c r="Z25" i="14"/>
  <c r="Y22" i="14"/>
  <c r="D23" i="14" s="1"/>
  <c r="Y20" i="14"/>
  <c r="D21" i="14" s="1"/>
  <c r="Y19" i="14"/>
  <c r="D20" i="14" s="1"/>
  <c r="Y18" i="14"/>
  <c r="K19" i="14" s="1"/>
  <c r="Y17" i="14"/>
  <c r="D18" i="14" s="1"/>
  <c r="Y16" i="13"/>
  <c r="R16" i="13" s="1"/>
  <c r="Y17" i="13"/>
  <c r="R17" i="13" s="1"/>
  <c r="Y18" i="13"/>
  <c r="R18" i="13" s="1"/>
  <c r="Y19" i="13"/>
  <c r="R19" i="13" s="1"/>
  <c r="Y21" i="13"/>
  <c r="R21" i="13" s="1"/>
  <c r="Z24" i="13"/>
  <c r="AA24" i="13"/>
  <c r="AB24" i="13"/>
  <c r="AC24" i="13"/>
  <c r="AD24" i="13"/>
  <c r="AE24" i="13"/>
  <c r="AF24" i="13"/>
  <c r="AG24" i="13"/>
  <c r="Z25" i="13"/>
  <c r="AA25" i="13"/>
  <c r="AB25" i="13"/>
  <c r="AC25" i="13"/>
  <c r="AD25" i="13"/>
  <c r="AE25" i="13"/>
  <c r="AF25" i="13"/>
  <c r="AG25" i="13"/>
  <c r="E30" i="13"/>
  <c r="C25" i="13"/>
  <c r="D20" i="13"/>
  <c r="D16" i="13"/>
  <c r="C14" i="13"/>
  <c r="D8" i="13"/>
  <c r="F9" i="13" s="1"/>
  <c r="F7" i="13"/>
  <c r="G6" i="13"/>
  <c r="F6" i="13"/>
  <c r="E5" i="13"/>
  <c r="F5" i="13"/>
  <c r="K9" i="19"/>
  <c r="L9" i="19" s="1"/>
  <c r="R19" i="19"/>
  <c r="D72" i="19"/>
  <c r="K20" i="19"/>
  <c r="S9" i="19"/>
  <c r="D20" i="19"/>
  <c r="D17" i="18"/>
  <c r="D18" i="18"/>
  <c r="J18" i="17"/>
  <c r="D19" i="13"/>
  <c r="E8" i="17"/>
  <c r="S45" i="17"/>
  <c r="S51" i="17"/>
  <c r="X34" i="12"/>
  <c r="Y34" i="12"/>
  <c r="Z34" i="12"/>
  <c r="AA34" i="12"/>
  <c r="AB34" i="12"/>
  <c r="AC34" i="12"/>
  <c r="AD34" i="12"/>
  <c r="AE34" i="12"/>
  <c r="W15" i="12"/>
  <c r="W20" i="12"/>
  <c r="E32" i="12"/>
  <c r="W18" i="12"/>
  <c r="W16" i="12"/>
  <c r="W17" i="12"/>
  <c r="E6" i="12"/>
  <c r="E5" i="12"/>
  <c r="F9" i="12"/>
  <c r="C27" i="12"/>
  <c r="D17" i="12"/>
  <c r="C15" i="12"/>
  <c r="F7" i="12"/>
  <c r="F6" i="12"/>
  <c r="F5" i="12"/>
  <c r="Y33" i="12"/>
  <c r="Z33" i="12"/>
  <c r="AA33" i="12"/>
  <c r="AB33" i="12"/>
  <c r="AC33" i="12"/>
  <c r="AD33" i="12"/>
  <c r="AE33" i="12"/>
  <c r="X33" i="12"/>
  <c r="C5" i="1"/>
  <c r="C6" i="1"/>
  <c r="C7" i="1"/>
  <c r="C8" i="1"/>
  <c r="L6" i="1"/>
  <c r="B5" i="1" s="1"/>
  <c r="L8" i="1"/>
  <c r="B6" i="1" s="1"/>
  <c r="L9" i="1"/>
  <c r="B7" i="1" s="1"/>
  <c r="L10" i="1"/>
  <c r="B8" i="1"/>
  <c r="E19" i="11"/>
  <c r="E20" i="11"/>
  <c r="E21" i="11"/>
  <c r="E22" i="11"/>
  <c r="E23" i="11"/>
  <c r="C9" i="11"/>
  <c r="C10" i="11"/>
  <c r="C11" i="11"/>
  <c r="C12" i="11"/>
  <c r="E12" i="11" s="1"/>
  <c r="C13" i="11"/>
  <c r="C14" i="11"/>
  <c r="C15" i="11"/>
  <c r="C16" i="11"/>
  <c r="D9" i="11"/>
  <c r="E9" i="11" s="1"/>
  <c r="D10" i="11"/>
  <c r="D11" i="11"/>
  <c r="D12" i="11"/>
  <c r="D13" i="11"/>
  <c r="E13" i="11" s="1"/>
  <c r="D14" i="11"/>
  <c r="D15" i="11"/>
  <c r="E15" i="11" s="1"/>
  <c r="D16" i="11"/>
  <c r="D7" i="11"/>
  <c r="C7" i="11"/>
  <c r="E7" i="11" s="1"/>
  <c r="C6" i="11"/>
  <c r="D6" i="11"/>
  <c r="E6" i="11" s="1"/>
  <c r="C5" i="11"/>
  <c r="D5" i="11"/>
  <c r="E5" i="11" s="1"/>
  <c r="L71" i="1"/>
  <c r="P6" i="3"/>
  <c r="X5" i="2"/>
  <c r="J7" i="2" s="1"/>
  <c r="L7" i="1"/>
  <c r="O99" i="1"/>
  <c r="C16" i="1"/>
  <c r="M84" i="1"/>
  <c r="M85" i="1"/>
  <c r="H19" i="1"/>
  <c r="M87" i="1"/>
  <c r="M88" i="1"/>
  <c r="M89" i="1"/>
  <c r="J99" i="1"/>
  <c r="G71" i="1"/>
  <c r="E99" i="1"/>
  <c r="B71" i="1"/>
  <c r="O67" i="1"/>
  <c r="J67" i="1"/>
  <c r="H53" i="1"/>
  <c r="E67" i="1"/>
  <c r="J33" i="1"/>
  <c r="G5" i="1"/>
  <c r="E33" i="1"/>
  <c r="L16" i="2"/>
  <c r="L17" i="2"/>
  <c r="L18" i="2"/>
  <c r="L19" i="2"/>
  <c r="L20" i="2"/>
  <c r="L21" i="2"/>
  <c r="L22" i="2"/>
  <c r="J26" i="2"/>
  <c r="V31" i="2"/>
  <c r="L25" i="4"/>
  <c r="L25" i="3"/>
  <c r="AQ300" i="7"/>
  <c r="AO300" i="7"/>
  <c r="AM300" i="7"/>
  <c r="AK300" i="7"/>
  <c r="AI300" i="7"/>
  <c r="AG300" i="7"/>
  <c r="AE300" i="7"/>
  <c r="AC300" i="7"/>
  <c r="AA300" i="7"/>
  <c r="Y300" i="7"/>
  <c r="W300" i="7"/>
  <c r="U300" i="7"/>
  <c r="S300" i="7"/>
  <c r="Q300" i="7"/>
  <c r="O300" i="7"/>
  <c r="M300" i="7"/>
  <c r="K300" i="7"/>
  <c r="I300" i="7"/>
  <c r="G300" i="7"/>
  <c r="E300" i="7"/>
  <c r="AQ299" i="7"/>
  <c r="AO299" i="7"/>
  <c r="AM299" i="7"/>
  <c r="AK299" i="7"/>
  <c r="AI299" i="7"/>
  <c r="AG299" i="7"/>
  <c r="AE299" i="7"/>
  <c r="AC299" i="7"/>
  <c r="AA299" i="7"/>
  <c r="Y299" i="7"/>
  <c r="W299" i="7"/>
  <c r="U299" i="7"/>
  <c r="S299" i="7"/>
  <c r="Q299" i="7"/>
  <c r="O299" i="7"/>
  <c r="M299" i="7"/>
  <c r="K299" i="7"/>
  <c r="I299" i="7"/>
  <c r="G299" i="7"/>
  <c r="E299" i="7"/>
  <c r="AQ298" i="7"/>
  <c r="AO298" i="7"/>
  <c r="AM298" i="7"/>
  <c r="AK298" i="7"/>
  <c r="AI298" i="7"/>
  <c r="AG298" i="7"/>
  <c r="AE298" i="7"/>
  <c r="AC298" i="7"/>
  <c r="AA298" i="7"/>
  <c r="Y298" i="7"/>
  <c r="W298" i="7"/>
  <c r="U298" i="7"/>
  <c r="S298" i="7"/>
  <c r="Q298" i="7"/>
  <c r="O298" i="7"/>
  <c r="M298" i="7"/>
  <c r="K298" i="7"/>
  <c r="I298" i="7"/>
  <c r="G298" i="7"/>
  <c r="E298" i="7"/>
  <c r="AQ297" i="7"/>
  <c r="AO297" i="7"/>
  <c r="AM297" i="7"/>
  <c r="AK297" i="7"/>
  <c r="AI297" i="7"/>
  <c r="AG297" i="7"/>
  <c r="AE297" i="7"/>
  <c r="AC297" i="7"/>
  <c r="AA297" i="7"/>
  <c r="Y297" i="7"/>
  <c r="W297" i="7"/>
  <c r="U297" i="7"/>
  <c r="S297" i="7"/>
  <c r="Q297" i="7"/>
  <c r="O297" i="7"/>
  <c r="M297" i="7"/>
  <c r="K297" i="7"/>
  <c r="I297" i="7"/>
  <c r="G297" i="7"/>
  <c r="E297" i="7"/>
  <c r="AQ296" i="7"/>
  <c r="AO296" i="7"/>
  <c r="AM296" i="7"/>
  <c r="AK296" i="7"/>
  <c r="AI296" i="7"/>
  <c r="AG296" i="7"/>
  <c r="AE296" i="7"/>
  <c r="AC296" i="7"/>
  <c r="AA296" i="7"/>
  <c r="Y296" i="7"/>
  <c r="W296" i="7"/>
  <c r="U296" i="7"/>
  <c r="S296" i="7"/>
  <c r="Q296" i="7"/>
  <c r="O296" i="7"/>
  <c r="M296" i="7"/>
  <c r="K296" i="7"/>
  <c r="I296" i="7"/>
  <c r="G296" i="7"/>
  <c r="E296" i="7"/>
  <c r="AQ295" i="7"/>
  <c r="AO295" i="7"/>
  <c r="AM295" i="7"/>
  <c r="AK295" i="7"/>
  <c r="AI295" i="7"/>
  <c r="AG295" i="7"/>
  <c r="AE295" i="7"/>
  <c r="AC295" i="7"/>
  <c r="AA295" i="7"/>
  <c r="Y295" i="7"/>
  <c r="W295" i="7"/>
  <c r="U295" i="7"/>
  <c r="S295" i="7"/>
  <c r="Q295" i="7"/>
  <c r="O295" i="7"/>
  <c r="M295" i="7"/>
  <c r="K295" i="7"/>
  <c r="I295" i="7"/>
  <c r="G295" i="7"/>
  <c r="E295" i="7"/>
  <c r="AQ294" i="7"/>
  <c r="AO294" i="7"/>
  <c r="AM294" i="7"/>
  <c r="AK294" i="7"/>
  <c r="AI294" i="7"/>
  <c r="AG294" i="7"/>
  <c r="AE294" i="7"/>
  <c r="AC294" i="7"/>
  <c r="AA294" i="7"/>
  <c r="Y294" i="7"/>
  <c r="W294" i="7"/>
  <c r="U294" i="7"/>
  <c r="S294" i="7"/>
  <c r="Q294" i="7"/>
  <c r="O294" i="7"/>
  <c r="M294" i="7"/>
  <c r="K294" i="7"/>
  <c r="I294" i="7"/>
  <c r="G294" i="7"/>
  <c r="E294" i="7"/>
  <c r="AQ293" i="7"/>
  <c r="AO293" i="7"/>
  <c r="AM293" i="7"/>
  <c r="AK293" i="7"/>
  <c r="AI293" i="7"/>
  <c r="AG293" i="7"/>
  <c r="AE293" i="7"/>
  <c r="AC293" i="7"/>
  <c r="AA293" i="7"/>
  <c r="Y293" i="7"/>
  <c r="W293" i="7"/>
  <c r="U293" i="7"/>
  <c r="S293" i="7"/>
  <c r="Q293" i="7"/>
  <c r="O293" i="7"/>
  <c r="M293" i="7"/>
  <c r="K293" i="7"/>
  <c r="I293" i="7"/>
  <c r="G293" i="7"/>
  <c r="E293" i="7"/>
  <c r="AQ292" i="7"/>
  <c r="AO292" i="7"/>
  <c r="AM292" i="7"/>
  <c r="AK292" i="7"/>
  <c r="AI292" i="7"/>
  <c r="AG292" i="7"/>
  <c r="AE292" i="7"/>
  <c r="AC292" i="7"/>
  <c r="AA292" i="7"/>
  <c r="Y292" i="7"/>
  <c r="W292" i="7"/>
  <c r="U292" i="7"/>
  <c r="S292" i="7"/>
  <c r="Q292" i="7"/>
  <c r="O292" i="7"/>
  <c r="M292" i="7"/>
  <c r="K292" i="7"/>
  <c r="I292" i="7"/>
  <c r="G292" i="7"/>
  <c r="E292" i="7"/>
  <c r="AQ291" i="7"/>
  <c r="AO291" i="7"/>
  <c r="AM291" i="7"/>
  <c r="AK291" i="7"/>
  <c r="AI291" i="7"/>
  <c r="AG291" i="7"/>
  <c r="AE291" i="7"/>
  <c r="AC291" i="7"/>
  <c r="AA291" i="7"/>
  <c r="Y291" i="7"/>
  <c r="W291" i="7"/>
  <c r="U291" i="7"/>
  <c r="S291" i="7"/>
  <c r="Q291" i="7"/>
  <c r="O291" i="7"/>
  <c r="M291" i="7"/>
  <c r="K291" i="7"/>
  <c r="I291" i="7"/>
  <c r="G291" i="7"/>
  <c r="E291" i="7"/>
  <c r="AQ290" i="7"/>
  <c r="AO290" i="7"/>
  <c r="AM290" i="7"/>
  <c r="AK290" i="7"/>
  <c r="AI290" i="7"/>
  <c r="AG290" i="7"/>
  <c r="AE290" i="7"/>
  <c r="AC290" i="7"/>
  <c r="AA290" i="7"/>
  <c r="Y290" i="7"/>
  <c r="W290" i="7"/>
  <c r="U290" i="7"/>
  <c r="S290" i="7"/>
  <c r="Q290" i="7"/>
  <c r="O290" i="7"/>
  <c r="M290" i="7"/>
  <c r="K290" i="7"/>
  <c r="I290" i="7"/>
  <c r="G290" i="7"/>
  <c r="E290" i="7"/>
  <c r="AQ289" i="7"/>
  <c r="AO289" i="7"/>
  <c r="AM289" i="7"/>
  <c r="AK289" i="7"/>
  <c r="AI289" i="7"/>
  <c r="AG289" i="7"/>
  <c r="AE289" i="7"/>
  <c r="AC289" i="7"/>
  <c r="AA289" i="7"/>
  <c r="Y289" i="7"/>
  <c r="W289" i="7"/>
  <c r="U289" i="7"/>
  <c r="S289" i="7"/>
  <c r="Q289" i="7"/>
  <c r="O289" i="7"/>
  <c r="M289" i="7"/>
  <c r="K289" i="7"/>
  <c r="I289" i="7"/>
  <c r="G289" i="7"/>
  <c r="E289" i="7"/>
  <c r="AQ288" i="7"/>
  <c r="AO288" i="7"/>
  <c r="AM288" i="7"/>
  <c r="AK288" i="7"/>
  <c r="AI288" i="7"/>
  <c r="AG288" i="7"/>
  <c r="AE288" i="7"/>
  <c r="AC288" i="7"/>
  <c r="AA288" i="7"/>
  <c r="Y288" i="7"/>
  <c r="W288" i="7"/>
  <c r="U288" i="7"/>
  <c r="S288" i="7"/>
  <c r="Q288" i="7"/>
  <c r="O288" i="7"/>
  <c r="M288" i="7"/>
  <c r="K288" i="7"/>
  <c r="I288" i="7"/>
  <c r="G288" i="7"/>
  <c r="E288" i="7"/>
  <c r="AQ287" i="7"/>
  <c r="AO287" i="7"/>
  <c r="AM287" i="7"/>
  <c r="AK287" i="7"/>
  <c r="AI287" i="7"/>
  <c r="AG287" i="7"/>
  <c r="AE287" i="7"/>
  <c r="AC287" i="7"/>
  <c r="AA287" i="7"/>
  <c r="Y287" i="7"/>
  <c r="W287" i="7"/>
  <c r="U287" i="7"/>
  <c r="S287" i="7"/>
  <c r="Q287" i="7"/>
  <c r="O287" i="7"/>
  <c r="M287" i="7"/>
  <c r="K287" i="7"/>
  <c r="I287" i="7"/>
  <c r="G287" i="7"/>
  <c r="E287" i="7"/>
  <c r="AQ286" i="7"/>
  <c r="AO286" i="7"/>
  <c r="AM286" i="7"/>
  <c r="AK286" i="7"/>
  <c r="AI286" i="7"/>
  <c r="AG286" i="7"/>
  <c r="AE286" i="7"/>
  <c r="AC286" i="7"/>
  <c r="AA286" i="7"/>
  <c r="Y286" i="7"/>
  <c r="W286" i="7"/>
  <c r="U286" i="7"/>
  <c r="S286" i="7"/>
  <c r="Q286" i="7"/>
  <c r="O286" i="7"/>
  <c r="M286" i="7"/>
  <c r="K286" i="7"/>
  <c r="I286" i="7"/>
  <c r="G286" i="7"/>
  <c r="E286" i="7"/>
  <c r="AQ285" i="7"/>
  <c r="AO285" i="7"/>
  <c r="AM285" i="7"/>
  <c r="AK285" i="7"/>
  <c r="AI285" i="7"/>
  <c r="AG285" i="7"/>
  <c r="AE285" i="7"/>
  <c r="AC285" i="7"/>
  <c r="AA285" i="7"/>
  <c r="Y285" i="7"/>
  <c r="W285" i="7"/>
  <c r="U285" i="7"/>
  <c r="S285" i="7"/>
  <c r="Q285" i="7"/>
  <c r="O285" i="7"/>
  <c r="M285" i="7"/>
  <c r="K285" i="7"/>
  <c r="I285" i="7"/>
  <c r="G285" i="7"/>
  <c r="E285" i="7"/>
  <c r="AQ284" i="7"/>
  <c r="AO284" i="7"/>
  <c r="AM284" i="7"/>
  <c r="AK284" i="7"/>
  <c r="AI284" i="7"/>
  <c r="AG284" i="7"/>
  <c r="AE284" i="7"/>
  <c r="AC284" i="7"/>
  <c r="AA284" i="7"/>
  <c r="Y284" i="7"/>
  <c r="W284" i="7"/>
  <c r="U284" i="7"/>
  <c r="S284" i="7"/>
  <c r="Q284" i="7"/>
  <c r="O284" i="7"/>
  <c r="M284" i="7"/>
  <c r="K284" i="7"/>
  <c r="I284" i="7"/>
  <c r="G284" i="7"/>
  <c r="E284" i="7"/>
  <c r="AQ283" i="7"/>
  <c r="AO283" i="7"/>
  <c r="AM283" i="7"/>
  <c r="AK283" i="7"/>
  <c r="AI283" i="7"/>
  <c r="AG283" i="7"/>
  <c r="AE283" i="7"/>
  <c r="AC283" i="7"/>
  <c r="AA283" i="7"/>
  <c r="Y283" i="7"/>
  <c r="W283" i="7"/>
  <c r="U283" i="7"/>
  <c r="S283" i="7"/>
  <c r="Q283" i="7"/>
  <c r="O283" i="7"/>
  <c r="M283" i="7"/>
  <c r="K283" i="7"/>
  <c r="I283" i="7"/>
  <c r="G283" i="7"/>
  <c r="E283" i="7"/>
  <c r="AQ282" i="7"/>
  <c r="AO282" i="7"/>
  <c r="AM282" i="7"/>
  <c r="AK282" i="7"/>
  <c r="AI282" i="7"/>
  <c r="AG282" i="7"/>
  <c r="AE282" i="7"/>
  <c r="AC282" i="7"/>
  <c r="AA282" i="7"/>
  <c r="Y282" i="7"/>
  <c r="W282" i="7"/>
  <c r="U282" i="7"/>
  <c r="S282" i="7"/>
  <c r="Q282" i="7"/>
  <c r="O282" i="7"/>
  <c r="M282" i="7"/>
  <c r="K282" i="7"/>
  <c r="I282" i="7"/>
  <c r="G282" i="7"/>
  <c r="E282" i="7"/>
  <c r="AQ281" i="7"/>
  <c r="AO281" i="7"/>
  <c r="AM281" i="7"/>
  <c r="AK281" i="7"/>
  <c r="AI281" i="7"/>
  <c r="AG281" i="7"/>
  <c r="AE281" i="7"/>
  <c r="AC281" i="7"/>
  <c r="AA281" i="7"/>
  <c r="Y281" i="7"/>
  <c r="W281" i="7"/>
  <c r="U281" i="7"/>
  <c r="S281" i="7"/>
  <c r="Q281" i="7"/>
  <c r="O281" i="7"/>
  <c r="M281" i="7"/>
  <c r="K281" i="7"/>
  <c r="I281" i="7"/>
  <c r="G281" i="7"/>
  <c r="E281" i="7"/>
  <c r="AQ280" i="7"/>
  <c r="AO280" i="7"/>
  <c r="AM280" i="7"/>
  <c r="AK280" i="7"/>
  <c r="AI280" i="7"/>
  <c r="AG280" i="7"/>
  <c r="AE280" i="7"/>
  <c r="AC280" i="7"/>
  <c r="AA280" i="7"/>
  <c r="Y280" i="7"/>
  <c r="W280" i="7"/>
  <c r="U280" i="7"/>
  <c r="S280" i="7"/>
  <c r="Q280" i="7"/>
  <c r="O280" i="7"/>
  <c r="M280" i="7"/>
  <c r="K280" i="7"/>
  <c r="I280" i="7"/>
  <c r="G280" i="7"/>
  <c r="E280" i="7"/>
  <c r="AQ279" i="7"/>
  <c r="AO279" i="7"/>
  <c r="AM279" i="7"/>
  <c r="AK279" i="7"/>
  <c r="AI279" i="7"/>
  <c r="AG279" i="7"/>
  <c r="AE279" i="7"/>
  <c r="AC279" i="7"/>
  <c r="AA279" i="7"/>
  <c r="Y279" i="7"/>
  <c r="W279" i="7"/>
  <c r="U279" i="7"/>
  <c r="S279" i="7"/>
  <c r="Q279" i="7"/>
  <c r="O279" i="7"/>
  <c r="M279" i="7"/>
  <c r="K279" i="7"/>
  <c r="I279" i="7"/>
  <c r="G279" i="7"/>
  <c r="E279" i="7"/>
  <c r="AQ278" i="7"/>
  <c r="AO278" i="7"/>
  <c r="AM278" i="7"/>
  <c r="AK278" i="7"/>
  <c r="AI278" i="7"/>
  <c r="AG278" i="7"/>
  <c r="AE278" i="7"/>
  <c r="AC278" i="7"/>
  <c r="AA278" i="7"/>
  <c r="Y278" i="7"/>
  <c r="W278" i="7"/>
  <c r="U278" i="7"/>
  <c r="S278" i="7"/>
  <c r="Q278" i="7"/>
  <c r="O278" i="7"/>
  <c r="M278" i="7"/>
  <c r="K278" i="7"/>
  <c r="I278" i="7"/>
  <c r="G278" i="7"/>
  <c r="E278" i="7"/>
  <c r="AQ277" i="7"/>
  <c r="AO277" i="7"/>
  <c r="AM277" i="7"/>
  <c r="AK277" i="7"/>
  <c r="AI277" i="7"/>
  <c r="AG277" i="7"/>
  <c r="AE277" i="7"/>
  <c r="AC277" i="7"/>
  <c r="AA277" i="7"/>
  <c r="Y277" i="7"/>
  <c r="W277" i="7"/>
  <c r="U277" i="7"/>
  <c r="S277" i="7"/>
  <c r="Q277" i="7"/>
  <c r="O277" i="7"/>
  <c r="M277" i="7"/>
  <c r="K277" i="7"/>
  <c r="I277" i="7"/>
  <c r="G277" i="7"/>
  <c r="E277" i="7"/>
  <c r="AQ276" i="7"/>
  <c r="AO276" i="7"/>
  <c r="AM276" i="7"/>
  <c r="AK276" i="7"/>
  <c r="AI276" i="7"/>
  <c r="AG276" i="7"/>
  <c r="AE276" i="7"/>
  <c r="AC276" i="7"/>
  <c r="AA276" i="7"/>
  <c r="Y276" i="7"/>
  <c r="W276" i="7"/>
  <c r="U276" i="7"/>
  <c r="S276" i="7"/>
  <c r="Q276" i="7"/>
  <c r="O276" i="7"/>
  <c r="M276" i="7"/>
  <c r="K276" i="7"/>
  <c r="I276" i="7"/>
  <c r="G276" i="7"/>
  <c r="E276" i="7"/>
  <c r="AQ275" i="7"/>
  <c r="AO275" i="7"/>
  <c r="AM275" i="7"/>
  <c r="AK275" i="7"/>
  <c r="AI275" i="7"/>
  <c r="AG275" i="7"/>
  <c r="AE275" i="7"/>
  <c r="AC275" i="7"/>
  <c r="AA275" i="7"/>
  <c r="Y275" i="7"/>
  <c r="W275" i="7"/>
  <c r="U275" i="7"/>
  <c r="S275" i="7"/>
  <c r="Q275" i="7"/>
  <c r="O275" i="7"/>
  <c r="M275" i="7"/>
  <c r="K275" i="7"/>
  <c r="I275" i="7"/>
  <c r="G275" i="7"/>
  <c r="E275" i="7"/>
  <c r="AQ274" i="7"/>
  <c r="AO274" i="7"/>
  <c r="AM274" i="7"/>
  <c r="AK274" i="7"/>
  <c r="AI274" i="7"/>
  <c r="AG274" i="7"/>
  <c r="AE274" i="7"/>
  <c r="AC274" i="7"/>
  <c r="AA274" i="7"/>
  <c r="Y274" i="7"/>
  <c r="W274" i="7"/>
  <c r="U274" i="7"/>
  <c r="S274" i="7"/>
  <c r="Q274" i="7"/>
  <c r="O274" i="7"/>
  <c r="M274" i="7"/>
  <c r="K274" i="7"/>
  <c r="I274" i="7"/>
  <c r="G274" i="7"/>
  <c r="E274" i="7"/>
  <c r="AQ273" i="7"/>
  <c r="AO273" i="7"/>
  <c r="AM273" i="7"/>
  <c r="AK273" i="7"/>
  <c r="AI273" i="7"/>
  <c r="AG273" i="7"/>
  <c r="AE273" i="7"/>
  <c r="AC273" i="7"/>
  <c r="AA273" i="7"/>
  <c r="Y273" i="7"/>
  <c r="W273" i="7"/>
  <c r="U273" i="7"/>
  <c r="S273" i="7"/>
  <c r="Q273" i="7"/>
  <c r="O273" i="7"/>
  <c r="M273" i="7"/>
  <c r="K273" i="7"/>
  <c r="I273" i="7"/>
  <c r="G273" i="7"/>
  <c r="E273" i="7"/>
  <c r="AQ272" i="7"/>
  <c r="AO272" i="7"/>
  <c r="AM272" i="7"/>
  <c r="AK272" i="7"/>
  <c r="AI272" i="7"/>
  <c r="AG272" i="7"/>
  <c r="AE272" i="7"/>
  <c r="AC272" i="7"/>
  <c r="AA272" i="7"/>
  <c r="Y272" i="7"/>
  <c r="W272" i="7"/>
  <c r="U272" i="7"/>
  <c r="S272" i="7"/>
  <c r="Q272" i="7"/>
  <c r="O272" i="7"/>
  <c r="M272" i="7"/>
  <c r="K272" i="7"/>
  <c r="I272" i="7"/>
  <c r="G272" i="7"/>
  <c r="E272" i="7"/>
  <c r="AQ271" i="7"/>
  <c r="AO271" i="7"/>
  <c r="AM271" i="7"/>
  <c r="AK271" i="7"/>
  <c r="AI271" i="7"/>
  <c r="AG271" i="7"/>
  <c r="AE271" i="7"/>
  <c r="AC271" i="7"/>
  <c r="AA271" i="7"/>
  <c r="Y271" i="7"/>
  <c r="W271" i="7"/>
  <c r="U271" i="7"/>
  <c r="S271" i="7"/>
  <c r="Q271" i="7"/>
  <c r="O271" i="7"/>
  <c r="M271" i="7"/>
  <c r="K271" i="7"/>
  <c r="I271" i="7"/>
  <c r="G271" i="7"/>
  <c r="E271" i="7"/>
  <c r="AQ270" i="7"/>
  <c r="AO270" i="7"/>
  <c r="AM270" i="7"/>
  <c r="AK270" i="7"/>
  <c r="AI270" i="7"/>
  <c r="AG270" i="7"/>
  <c r="AE270" i="7"/>
  <c r="AC270" i="7"/>
  <c r="AA270" i="7"/>
  <c r="Y270" i="7"/>
  <c r="W270" i="7"/>
  <c r="U270" i="7"/>
  <c r="S270" i="7"/>
  <c r="Q270" i="7"/>
  <c r="O270" i="7"/>
  <c r="M270" i="7"/>
  <c r="K270" i="7"/>
  <c r="I270" i="7"/>
  <c r="G270" i="7"/>
  <c r="E270" i="7"/>
  <c r="AQ269" i="7"/>
  <c r="AO269" i="7"/>
  <c r="AM269" i="7"/>
  <c r="AK269" i="7"/>
  <c r="AI269" i="7"/>
  <c r="AG269" i="7"/>
  <c r="AE269" i="7"/>
  <c r="AC269" i="7"/>
  <c r="AA269" i="7"/>
  <c r="Y269" i="7"/>
  <c r="W269" i="7"/>
  <c r="U269" i="7"/>
  <c r="S269" i="7"/>
  <c r="Q269" i="7"/>
  <c r="O269" i="7"/>
  <c r="M269" i="7"/>
  <c r="K269" i="7"/>
  <c r="I269" i="7"/>
  <c r="G269" i="7"/>
  <c r="E269" i="7"/>
  <c r="AQ268" i="7"/>
  <c r="AO268" i="7"/>
  <c r="AM268" i="7"/>
  <c r="AK268" i="7"/>
  <c r="AI268" i="7"/>
  <c r="AG268" i="7"/>
  <c r="AE268" i="7"/>
  <c r="AC268" i="7"/>
  <c r="AA268" i="7"/>
  <c r="Y268" i="7"/>
  <c r="W268" i="7"/>
  <c r="U268" i="7"/>
  <c r="S268" i="7"/>
  <c r="Q268" i="7"/>
  <c r="O268" i="7"/>
  <c r="M268" i="7"/>
  <c r="K268" i="7"/>
  <c r="I268" i="7"/>
  <c r="G268" i="7"/>
  <c r="E268" i="7"/>
  <c r="AQ267" i="7"/>
  <c r="AO267" i="7"/>
  <c r="AM267" i="7"/>
  <c r="AK267" i="7"/>
  <c r="AI267" i="7"/>
  <c r="AG267" i="7"/>
  <c r="AE267" i="7"/>
  <c r="AC267" i="7"/>
  <c r="AA267" i="7"/>
  <c r="Y267" i="7"/>
  <c r="W267" i="7"/>
  <c r="U267" i="7"/>
  <c r="S267" i="7"/>
  <c r="Q267" i="7"/>
  <c r="O267" i="7"/>
  <c r="M267" i="7"/>
  <c r="K267" i="7"/>
  <c r="I267" i="7"/>
  <c r="G267" i="7"/>
  <c r="E267" i="7"/>
  <c r="AQ266" i="7"/>
  <c r="AO266" i="7"/>
  <c r="AM266" i="7"/>
  <c r="AK266" i="7"/>
  <c r="AI266" i="7"/>
  <c r="AG266" i="7"/>
  <c r="AE266" i="7"/>
  <c r="AC266" i="7"/>
  <c r="AA266" i="7"/>
  <c r="Y266" i="7"/>
  <c r="W266" i="7"/>
  <c r="U266" i="7"/>
  <c r="S266" i="7"/>
  <c r="Q266" i="7"/>
  <c r="O266" i="7"/>
  <c r="M266" i="7"/>
  <c r="K266" i="7"/>
  <c r="I266" i="7"/>
  <c r="G266" i="7"/>
  <c r="E266" i="7"/>
  <c r="AQ265" i="7"/>
  <c r="AO265" i="7"/>
  <c r="AM265" i="7"/>
  <c r="AK265" i="7"/>
  <c r="AI265" i="7"/>
  <c r="AG265" i="7"/>
  <c r="AE265" i="7"/>
  <c r="AC265" i="7"/>
  <c r="AA265" i="7"/>
  <c r="Y265" i="7"/>
  <c r="W265" i="7"/>
  <c r="U265" i="7"/>
  <c r="S265" i="7"/>
  <c r="Q265" i="7"/>
  <c r="O265" i="7"/>
  <c r="M265" i="7"/>
  <c r="K265" i="7"/>
  <c r="I265" i="7"/>
  <c r="G265" i="7"/>
  <c r="E265" i="7"/>
  <c r="AQ264" i="7"/>
  <c r="AO264" i="7"/>
  <c r="AM264" i="7"/>
  <c r="AK264" i="7"/>
  <c r="AI264" i="7"/>
  <c r="AG264" i="7"/>
  <c r="AE264" i="7"/>
  <c r="AC264" i="7"/>
  <c r="AA264" i="7"/>
  <c r="Y264" i="7"/>
  <c r="W264" i="7"/>
  <c r="U264" i="7"/>
  <c r="S264" i="7"/>
  <c r="Q264" i="7"/>
  <c r="O264" i="7"/>
  <c r="M264" i="7"/>
  <c r="K264" i="7"/>
  <c r="I264" i="7"/>
  <c r="G264" i="7"/>
  <c r="E264" i="7"/>
  <c r="AQ263" i="7"/>
  <c r="AO263" i="7"/>
  <c r="AM263" i="7"/>
  <c r="AK263" i="7"/>
  <c r="AI263" i="7"/>
  <c r="AG263" i="7"/>
  <c r="AE263" i="7"/>
  <c r="AC263" i="7"/>
  <c r="AA263" i="7"/>
  <c r="Y263" i="7"/>
  <c r="W263" i="7"/>
  <c r="U263" i="7"/>
  <c r="S263" i="7"/>
  <c r="Q263" i="7"/>
  <c r="O263" i="7"/>
  <c r="M263" i="7"/>
  <c r="K263" i="7"/>
  <c r="I263" i="7"/>
  <c r="G263" i="7"/>
  <c r="E263" i="7"/>
  <c r="AQ262" i="7"/>
  <c r="AO262" i="7"/>
  <c r="AM262" i="7"/>
  <c r="AK262" i="7"/>
  <c r="AI262" i="7"/>
  <c r="AG262" i="7"/>
  <c r="AE262" i="7"/>
  <c r="AC262" i="7"/>
  <c r="AA262" i="7"/>
  <c r="Y262" i="7"/>
  <c r="W262" i="7"/>
  <c r="U262" i="7"/>
  <c r="S262" i="7"/>
  <c r="Q262" i="7"/>
  <c r="O262" i="7"/>
  <c r="M262" i="7"/>
  <c r="K262" i="7"/>
  <c r="I262" i="7"/>
  <c r="G262" i="7"/>
  <c r="E262" i="7"/>
  <c r="AQ261" i="7"/>
  <c r="AO261" i="7"/>
  <c r="AM261" i="7"/>
  <c r="AK261" i="7"/>
  <c r="AI261" i="7"/>
  <c r="AG261" i="7"/>
  <c r="AE261" i="7"/>
  <c r="AC261" i="7"/>
  <c r="AA261" i="7"/>
  <c r="Y261" i="7"/>
  <c r="W261" i="7"/>
  <c r="U261" i="7"/>
  <c r="S261" i="7"/>
  <c r="Q261" i="7"/>
  <c r="O261" i="7"/>
  <c r="M261" i="7"/>
  <c r="K261" i="7"/>
  <c r="I261" i="7"/>
  <c r="G261" i="7"/>
  <c r="E261" i="7"/>
  <c r="AQ260" i="7"/>
  <c r="AO260" i="7"/>
  <c r="AM260" i="7"/>
  <c r="AK260" i="7"/>
  <c r="AI260" i="7"/>
  <c r="AG260" i="7"/>
  <c r="AE260" i="7"/>
  <c r="AC260" i="7"/>
  <c r="AA260" i="7"/>
  <c r="Y260" i="7"/>
  <c r="W260" i="7"/>
  <c r="U260" i="7"/>
  <c r="S260" i="7"/>
  <c r="Q260" i="7"/>
  <c r="O260" i="7"/>
  <c r="M260" i="7"/>
  <c r="K260" i="7"/>
  <c r="I260" i="7"/>
  <c r="G260" i="7"/>
  <c r="E260" i="7"/>
  <c r="AQ259" i="7"/>
  <c r="AO259" i="7"/>
  <c r="AM259" i="7"/>
  <c r="AK259" i="7"/>
  <c r="AI259" i="7"/>
  <c r="AG259" i="7"/>
  <c r="AE259" i="7"/>
  <c r="AC259" i="7"/>
  <c r="AA259" i="7"/>
  <c r="Y259" i="7"/>
  <c r="W259" i="7"/>
  <c r="U259" i="7"/>
  <c r="S259" i="7"/>
  <c r="Q259" i="7"/>
  <c r="O259" i="7"/>
  <c r="M259" i="7"/>
  <c r="K259" i="7"/>
  <c r="I259" i="7"/>
  <c r="G259" i="7"/>
  <c r="E259" i="7"/>
  <c r="AQ258" i="7"/>
  <c r="AO258" i="7"/>
  <c r="AM258" i="7"/>
  <c r="AK258" i="7"/>
  <c r="AI258" i="7"/>
  <c r="AG258" i="7"/>
  <c r="AE258" i="7"/>
  <c r="AC258" i="7"/>
  <c r="AA258" i="7"/>
  <c r="Y258" i="7"/>
  <c r="W258" i="7"/>
  <c r="U258" i="7"/>
  <c r="S258" i="7"/>
  <c r="Q258" i="7"/>
  <c r="O258" i="7"/>
  <c r="M258" i="7"/>
  <c r="K258" i="7"/>
  <c r="I258" i="7"/>
  <c r="G258" i="7"/>
  <c r="E258" i="7"/>
  <c r="AQ257" i="7"/>
  <c r="AO257" i="7"/>
  <c r="AM257" i="7"/>
  <c r="AK257" i="7"/>
  <c r="AI257" i="7"/>
  <c r="AG257" i="7"/>
  <c r="AE257" i="7"/>
  <c r="AC257" i="7"/>
  <c r="AA257" i="7"/>
  <c r="Y257" i="7"/>
  <c r="W257" i="7"/>
  <c r="U257" i="7"/>
  <c r="S257" i="7"/>
  <c r="Q257" i="7"/>
  <c r="O257" i="7"/>
  <c r="M257" i="7"/>
  <c r="K257" i="7"/>
  <c r="I257" i="7"/>
  <c r="G257" i="7"/>
  <c r="E257" i="7"/>
  <c r="AQ256" i="7"/>
  <c r="AO256" i="7"/>
  <c r="AM256" i="7"/>
  <c r="AK256" i="7"/>
  <c r="AI256" i="7"/>
  <c r="AG256" i="7"/>
  <c r="AE256" i="7"/>
  <c r="AC256" i="7"/>
  <c r="AA256" i="7"/>
  <c r="Y256" i="7"/>
  <c r="W256" i="7"/>
  <c r="U256" i="7"/>
  <c r="S256" i="7"/>
  <c r="Q256" i="7"/>
  <c r="O256" i="7"/>
  <c r="M256" i="7"/>
  <c r="K256" i="7"/>
  <c r="I256" i="7"/>
  <c r="G256" i="7"/>
  <c r="E256" i="7"/>
  <c r="AQ255" i="7"/>
  <c r="AO255" i="7"/>
  <c r="AM255" i="7"/>
  <c r="AK255" i="7"/>
  <c r="AI255" i="7"/>
  <c r="AG255" i="7"/>
  <c r="AE255" i="7"/>
  <c r="AC255" i="7"/>
  <c r="AA255" i="7"/>
  <c r="Y255" i="7"/>
  <c r="W255" i="7"/>
  <c r="U255" i="7"/>
  <c r="S255" i="7"/>
  <c r="Q255" i="7"/>
  <c r="O255" i="7"/>
  <c r="M255" i="7"/>
  <c r="K255" i="7"/>
  <c r="I255" i="7"/>
  <c r="G255" i="7"/>
  <c r="E255" i="7"/>
  <c r="AQ254" i="7"/>
  <c r="AO254" i="7"/>
  <c r="AM254" i="7"/>
  <c r="AK254" i="7"/>
  <c r="AI254" i="7"/>
  <c r="AG254" i="7"/>
  <c r="AE254" i="7"/>
  <c r="AC254" i="7"/>
  <c r="AA254" i="7"/>
  <c r="Y254" i="7"/>
  <c r="W254" i="7"/>
  <c r="U254" i="7"/>
  <c r="S254" i="7"/>
  <c r="Q254" i="7"/>
  <c r="O254" i="7"/>
  <c r="M254" i="7"/>
  <c r="K254" i="7"/>
  <c r="I254" i="7"/>
  <c r="G254" i="7"/>
  <c r="E254" i="7"/>
  <c r="AQ253" i="7"/>
  <c r="AO253" i="7"/>
  <c r="AM253" i="7"/>
  <c r="AK253" i="7"/>
  <c r="AI253" i="7"/>
  <c r="AG253" i="7"/>
  <c r="AE253" i="7"/>
  <c r="AC253" i="7"/>
  <c r="AA253" i="7"/>
  <c r="Y253" i="7"/>
  <c r="W253" i="7"/>
  <c r="U253" i="7"/>
  <c r="S253" i="7"/>
  <c r="Q253" i="7"/>
  <c r="O253" i="7"/>
  <c r="M253" i="7"/>
  <c r="K253" i="7"/>
  <c r="I253" i="7"/>
  <c r="G253" i="7"/>
  <c r="E253" i="7"/>
  <c r="AQ252" i="7"/>
  <c r="AO252" i="7"/>
  <c r="AM252" i="7"/>
  <c r="AK252" i="7"/>
  <c r="AI252" i="7"/>
  <c r="AG252" i="7"/>
  <c r="AE252" i="7"/>
  <c r="AC252" i="7"/>
  <c r="AA252" i="7"/>
  <c r="Y252" i="7"/>
  <c r="W252" i="7"/>
  <c r="U252" i="7"/>
  <c r="S252" i="7"/>
  <c r="Q252" i="7"/>
  <c r="O252" i="7"/>
  <c r="M252" i="7"/>
  <c r="K252" i="7"/>
  <c r="I252" i="7"/>
  <c r="G252" i="7"/>
  <c r="E252" i="7"/>
  <c r="AQ251" i="7"/>
  <c r="AO251" i="7"/>
  <c r="AM251" i="7"/>
  <c r="AK251" i="7"/>
  <c r="AI251" i="7"/>
  <c r="AG251" i="7"/>
  <c r="AE251" i="7"/>
  <c r="AC251" i="7"/>
  <c r="AA251" i="7"/>
  <c r="Y251" i="7"/>
  <c r="W251" i="7"/>
  <c r="U251" i="7"/>
  <c r="S251" i="7"/>
  <c r="Q251" i="7"/>
  <c r="O251" i="7"/>
  <c r="M251" i="7"/>
  <c r="K251" i="7"/>
  <c r="I251" i="7"/>
  <c r="G251" i="7"/>
  <c r="E251" i="7"/>
  <c r="AQ250" i="7"/>
  <c r="AO250" i="7"/>
  <c r="AM250" i="7"/>
  <c r="AK250" i="7"/>
  <c r="AI250" i="7"/>
  <c r="AG250" i="7"/>
  <c r="AE250" i="7"/>
  <c r="AC250" i="7"/>
  <c r="AA250" i="7"/>
  <c r="Y250" i="7"/>
  <c r="W250" i="7"/>
  <c r="U250" i="7"/>
  <c r="S250" i="7"/>
  <c r="Q250" i="7"/>
  <c r="O250" i="7"/>
  <c r="M250" i="7"/>
  <c r="K250" i="7"/>
  <c r="I250" i="7"/>
  <c r="G250" i="7"/>
  <c r="E250" i="7"/>
  <c r="AQ249" i="7"/>
  <c r="AO249" i="7"/>
  <c r="AM249" i="7"/>
  <c r="AK249" i="7"/>
  <c r="AI249" i="7"/>
  <c r="AG249" i="7"/>
  <c r="AE249" i="7"/>
  <c r="AC249" i="7"/>
  <c r="AA249" i="7"/>
  <c r="Y249" i="7"/>
  <c r="W249" i="7"/>
  <c r="U249" i="7"/>
  <c r="S249" i="7"/>
  <c r="Q249" i="7"/>
  <c r="O249" i="7"/>
  <c r="M249" i="7"/>
  <c r="K249" i="7"/>
  <c r="I249" i="7"/>
  <c r="G249" i="7"/>
  <c r="E249" i="7"/>
  <c r="AQ248" i="7"/>
  <c r="AO248" i="7"/>
  <c r="AM248" i="7"/>
  <c r="AK248" i="7"/>
  <c r="AI248" i="7"/>
  <c r="AG248" i="7"/>
  <c r="AE248" i="7"/>
  <c r="AC248" i="7"/>
  <c r="AA248" i="7"/>
  <c r="Y248" i="7"/>
  <c r="W248" i="7"/>
  <c r="U248" i="7"/>
  <c r="S248" i="7"/>
  <c r="Q248" i="7"/>
  <c r="O248" i="7"/>
  <c r="M248" i="7"/>
  <c r="K248" i="7"/>
  <c r="I248" i="7"/>
  <c r="G248" i="7"/>
  <c r="E248" i="7"/>
  <c r="AQ247" i="7"/>
  <c r="AO247" i="7"/>
  <c r="AM247" i="7"/>
  <c r="AK247" i="7"/>
  <c r="AI247" i="7"/>
  <c r="AG247" i="7"/>
  <c r="AE247" i="7"/>
  <c r="AC247" i="7"/>
  <c r="AA247" i="7"/>
  <c r="Y247" i="7"/>
  <c r="W247" i="7"/>
  <c r="U247" i="7"/>
  <c r="S247" i="7"/>
  <c r="Q247" i="7"/>
  <c r="O247" i="7"/>
  <c r="M247" i="7"/>
  <c r="K247" i="7"/>
  <c r="I247" i="7"/>
  <c r="G247" i="7"/>
  <c r="E247" i="7"/>
  <c r="AQ246" i="7"/>
  <c r="AO246" i="7"/>
  <c r="AM246" i="7"/>
  <c r="AK246" i="7"/>
  <c r="AI246" i="7"/>
  <c r="AG246" i="7"/>
  <c r="AE246" i="7"/>
  <c r="AC246" i="7"/>
  <c r="AA246" i="7"/>
  <c r="Y246" i="7"/>
  <c r="W246" i="7"/>
  <c r="U246" i="7"/>
  <c r="S246" i="7"/>
  <c r="Q246" i="7"/>
  <c r="O246" i="7"/>
  <c r="M246" i="7"/>
  <c r="K246" i="7"/>
  <c r="I246" i="7"/>
  <c r="G246" i="7"/>
  <c r="E246" i="7"/>
  <c r="AQ245" i="7"/>
  <c r="AO245" i="7"/>
  <c r="AM245" i="7"/>
  <c r="AK245" i="7"/>
  <c r="AI245" i="7"/>
  <c r="AG245" i="7"/>
  <c r="AE245" i="7"/>
  <c r="AC245" i="7"/>
  <c r="AA245" i="7"/>
  <c r="Y245" i="7"/>
  <c r="W245" i="7"/>
  <c r="U245" i="7"/>
  <c r="S245" i="7"/>
  <c r="Q245" i="7"/>
  <c r="O245" i="7"/>
  <c r="M245" i="7"/>
  <c r="K245" i="7"/>
  <c r="I245" i="7"/>
  <c r="G245" i="7"/>
  <c r="E245" i="7"/>
  <c r="AQ244" i="7"/>
  <c r="AO244" i="7"/>
  <c r="AM244" i="7"/>
  <c r="AK244" i="7"/>
  <c r="AI244" i="7"/>
  <c r="AG244" i="7"/>
  <c r="AE244" i="7"/>
  <c r="AC244" i="7"/>
  <c r="AA244" i="7"/>
  <c r="Y244" i="7"/>
  <c r="W244" i="7"/>
  <c r="U244" i="7"/>
  <c r="S244" i="7"/>
  <c r="Q244" i="7"/>
  <c r="O244" i="7"/>
  <c r="M244" i="7"/>
  <c r="K244" i="7"/>
  <c r="I244" i="7"/>
  <c r="G244" i="7"/>
  <c r="E244" i="7"/>
  <c r="AQ243" i="7"/>
  <c r="AO243" i="7"/>
  <c r="AM243" i="7"/>
  <c r="AK243" i="7"/>
  <c r="AI243" i="7"/>
  <c r="AG243" i="7"/>
  <c r="AE243" i="7"/>
  <c r="AC243" i="7"/>
  <c r="AA243" i="7"/>
  <c r="Y243" i="7"/>
  <c r="W243" i="7"/>
  <c r="U243" i="7"/>
  <c r="S243" i="7"/>
  <c r="Q243" i="7"/>
  <c r="O243" i="7"/>
  <c r="M243" i="7"/>
  <c r="K243" i="7"/>
  <c r="I243" i="7"/>
  <c r="G243" i="7"/>
  <c r="E243" i="7"/>
  <c r="AQ242" i="7"/>
  <c r="AO242" i="7"/>
  <c r="AM242" i="7"/>
  <c r="AK242" i="7"/>
  <c r="AI242" i="7"/>
  <c r="AG242" i="7"/>
  <c r="AE242" i="7"/>
  <c r="AC242" i="7"/>
  <c r="AA242" i="7"/>
  <c r="Y242" i="7"/>
  <c r="W242" i="7"/>
  <c r="U242" i="7"/>
  <c r="S242" i="7"/>
  <c r="Q242" i="7"/>
  <c r="O242" i="7"/>
  <c r="M242" i="7"/>
  <c r="K242" i="7"/>
  <c r="I242" i="7"/>
  <c r="G242" i="7"/>
  <c r="E242" i="7"/>
  <c r="AQ241" i="7"/>
  <c r="AO241" i="7"/>
  <c r="AM241" i="7"/>
  <c r="AK241" i="7"/>
  <c r="AI241" i="7"/>
  <c r="AG241" i="7"/>
  <c r="AE241" i="7"/>
  <c r="AC241" i="7"/>
  <c r="AA241" i="7"/>
  <c r="Y241" i="7"/>
  <c r="W241" i="7"/>
  <c r="U241" i="7"/>
  <c r="S241" i="7"/>
  <c r="Q241" i="7"/>
  <c r="O241" i="7"/>
  <c r="M241" i="7"/>
  <c r="K241" i="7"/>
  <c r="I241" i="7"/>
  <c r="G241" i="7"/>
  <c r="E241" i="7"/>
  <c r="AQ240" i="7"/>
  <c r="AO240" i="7"/>
  <c r="AM240" i="7"/>
  <c r="AK240" i="7"/>
  <c r="AI240" i="7"/>
  <c r="AG240" i="7"/>
  <c r="AE240" i="7"/>
  <c r="AC240" i="7"/>
  <c r="AA240" i="7"/>
  <c r="Y240" i="7"/>
  <c r="W240" i="7"/>
  <c r="U240" i="7"/>
  <c r="S240" i="7"/>
  <c r="Q240" i="7"/>
  <c r="O240" i="7"/>
  <c r="M240" i="7"/>
  <c r="K240" i="7"/>
  <c r="I240" i="7"/>
  <c r="G240" i="7"/>
  <c r="E240" i="7"/>
  <c r="AQ239" i="7"/>
  <c r="AO239" i="7"/>
  <c r="AM239" i="7"/>
  <c r="AK239" i="7"/>
  <c r="AI239" i="7"/>
  <c r="AG239" i="7"/>
  <c r="AE239" i="7"/>
  <c r="AC239" i="7"/>
  <c r="AA239" i="7"/>
  <c r="Y239" i="7"/>
  <c r="W239" i="7"/>
  <c r="U239" i="7"/>
  <c r="S239" i="7"/>
  <c r="Q239" i="7"/>
  <c r="O239" i="7"/>
  <c r="M239" i="7"/>
  <c r="K239" i="7"/>
  <c r="I239" i="7"/>
  <c r="G239" i="7"/>
  <c r="E239" i="7"/>
  <c r="AQ238" i="7"/>
  <c r="AO238" i="7"/>
  <c r="AM238" i="7"/>
  <c r="AK238" i="7"/>
  <c r="AI238" i="7"/>
  <c r="AG238" i="7"/>
  <c r="AE238" i="7"/>
  <c r="AC238" i="7"/>
  <c r="AA238" i="7"/>
  <c r="Y238" i="7"/>
  <c r="W238" i="7"/>
  <c r="U238" i="7"/>
  <c r="S238" i="7"/>
  <c r="Q238" i="7"/>
  <c r="O238" i="7"/>
  <c r="M238" i="7"/>
  <c r="K238" i="7"/>
  <c r="I238" i="7"/>
  <c r="G238" i="7"/>
  <c r="E238" i="7"/>
  <c r="AQ237" i="7"/>
  <c r="AO237" i="7"/>
  <c r="AM237" i="7"/>
  <c r="AK237" i="7"/>
  <c r="AI237" i="7"/>
  <c r="AG237" i="7"/>
  <c r="AE237" i="7"/>
  <c r="AC237" i="7"/>
  <c r="AA237" i="7"/>
  <c r="Y237" i="7"/>
  <c r="W237" i="7"/>
  <c r="U237" i="7"/>
  <c r="S237" i="7"/>
  <c r="Q237" i="7"/>
  <c r="O237" i="7"/>
  <c r="M237" i="7"/>
  <c r="K237" i="7"/>
  <c r="I237" i="7"/>
  <c r="G237" i="7"/>
  <c r="E237" i="7"/>
  <c r="AQ236" i="7"/>
  <c r="AO236" i="7"/>
  <c r="AM236" i="7"/>
  <c r="AK236" i="7"/>
  <c r="AI236" i="7"/>
  <c r="AG236" i="7"/>
  <c r="AE236" i="7"/>
  <c r="AC236" i="7"/>
  <c r="AA236" i="7"/>
  <c r="Y236" i="7"/>
  <c r="W236" i="7"/>
  <c r="U236" i="7"/>
  <c r="S236" i="7"/>
  <c r="Q236" i="7"/>
  <c r="O236" i="7"/>
  <c r="M236" i="7"/>
  <c r="K236" i="7"/>
  <c r="I236" i="7"/>
  <c r="G236" i="7"/>
  <c r="E236" i="7"/>
  <c r="AQ235" i="7"/>
  <c r="AO235" i="7"/>
  <c r="AM235" i="7"/>
  <c r="AK235" i="7"/>
  <c r="AI235" i="7"/>
  <c r="AG235" i="7"/>
  <c r="AE235" i="7"/>
  <c r="AC235" i="7"/>
  <c r="AA235" i="7"/>
  <c r="Y235" i="7"/>
  <c r="W235" i="7"/>
  <c r="U235" i="7"/>
  <c r="S235" i="7"/>
  <c r="Q235" i="7"/>
  <c r="O235" i="7"/>
  <c r="M235" i="7"/>
  <c r="K235" i="7"/>
  <c r="I235" i="7"/>
  <c r="G235" i="7"/>
  <c r="E235" i="7"/>
  <c r="AQ234" i="7"/>
  <c r="AO234" i="7"/>
  <c r="AM234" i="7"/>
  <c r="AK234" i="7"/>
  <c r="AI234" i="7"/>
  <c r="AG234" i="7"/>
  <c r="AE234" i="7"/>
  <c r="AC234" i="7"/>
  <c r="AA234" i="7"/>
  <c r="Y234" i="7"/>
  <c r="W234" i="7"/>
  <c r="U234" i="7"/>
  <c r="S234" i="7"/>
  <c r="Q234" i="7"/>
  <c r="O234" i="7"/>
  <c r="M234" i="7"/>
  <c r="K234" i="7"/>
  <c r="I234" i="7"/>
  <c r="G234" i="7"/>
  <c r="E234" i="7"/>
  <c r="AQ233" i="7"/>
  <c r="AO233" i="7"/>
  <c r="AM233" i="7"/>
  <c r="AK233" i="7"/>
  <c r="AI233" i="7"/>
  <c r="AG233" i="7"/>
  <c r="AE233" i="7"/>
  <c r="AC233" i="7"/>
  <c r="AA233" i="7"/>
  <c r="Y233" i="7"/>
  <c r="W233" i="7"/>
  <c r="U233" i="7"/>
  <c r="S233" i="7"/>
  <c r="Q233" i="7"/>
  <c r="O233" i="7"/>
  <c r="M233" i="7"/>
  <c r="K233" i="7"/>
  <c r="I233" i="7"/>
  <c r="G233" i="7"/>
  <c r="E233" i="7"/>
  <c r="AQ232" i="7"/>
  <c r="AO232" i="7"/>
  <c r="AM232" i="7"/>
  <c r="AK232" i="7"/>
  <c r="AI232" i="7"/>
  <c r="AG232" i="7"/>
  <c r="AE232" i="7"/>
  <c r="AC232" i="7"/>
  <c r="AA232" i="7"/>
  <c r="Y232" i="7"/>
  <c r="W232" i="7"/>
  <c r="U232" i="7"/>
  <c r="S232" i="7"/>
  <c r="Q232" i="7"/>
  <c r="O232" i="7"/>
  <c r="M232" i="7"/>
  <c r="K232" i="7"/>
  <c r="I232" i="7"/>
  <c r="G232" i="7"/>
  <c r="E232" i="7"/>
  <c r="AQ231" i="7"/>
  <c r="AO231" i="7"/>
  <c r="AM231" i="7"/>
  <c r="AK231" i="7"/>
  <c r="AI231" i="7"/>
  <c r="AG231" i="7"/>
  <c r="AE231" i="7"/>
  <c r="AC231" i="7"/>
  <c r="AA231" i="7"/>
  <c r="Y231" i="7"/>
  <c r="W231" i="7"/>
  <c r="U231" i="7"/>
  <c r="S231" i="7"/>
  <c r="Q231" i="7"/>
  <c r="O231" i="7"/>
  <c r="M231" i="7"/>
  <c r="K231" i="7"/>
  <c r="I231" i="7"/>
  <c r="G231" i="7"/>
  <c r="E231" i="7"/>
  <c r="AQ230" i="7"/>
  <c r="AO230" i="7"/>
  <c r="AM230" i="7"/>
  <c r="AK230" i="7"/>
  <c r="AI230" i="7"/>
  <c r="AG230" i="7"/>
  <c r="AE230" i="7"/>
  <c r="AC230" i="7"/>
  <c r="AA230" i="7"/>
  <c r="Y230" i="7"/>
  <c r="W230" i="7"/>
  <c r="U230" i="7"/>
  <c r="S230" i="7"/>
  <c r="Q230" i="7"/>
  <c r="O230" i="7"/>
  <c r="M230" i="7"/>
  <c r="K230" i="7"/>
  <c r="I230" i="7"/>
  <c r="G230" i="7"/>
  <c r="E230" i="7"/>
  <c r="AQ229" i="7"/>
  <c r="AO229" i="7"/>
  <c r="AM229" i="7"/>
  <c r="AK229" i="7"/>
  <c r="AI229" i="7"/>
  <c r="AG229" i="7"/>
  <c r="AE229" i="7"/>
  <c r="AC229" i="7"/>
  <c r="AA229" i="7"/>
  <c r="Y229" i="7"/>
  <c r="W229" i="7"/>
  <c r="U229" i="7"/>
  <c r="S229" i="7"/>
  <c r="Q229" i="7"/>
  <c r="O229" i="7"/>
  <c r="M229" i="7"/>
  <c r="K229" i="7"/>
  <c r="I229" i="7"/>
  <c r="G229" i="7"/>
  <c r="E229" i="7"/>
  <c r="AQ228" i="7"/>
  <c r="AO228" i="7"/>
  <c r="AM228" i="7"/>
  <c r="AK228" i="7"/>
  <c r="AI228" i="7"/>
  <c r="AG228" i="7"/>
  <c r="AE228" i="7"/>
  <c r="AC228" i="7"/>
  <c r="AA228" i="7"/>
  <c r="Y228" i="7"/>
  <c r="W228" i="7"/>
  <c r="U228" i="7"/>
  <c r="S228" i="7"/>
  <c r="Q228" i="7"/>
  <c r="O228" i="7"/>
  <c r="M228" i="7"/>
  <c r="K228" i="7"/>
  <c r="I228" i="7"/>
  <c r="G228" i="7"/>
  <c r="E228" i="7"/>
  <c r="AQ227" i="7"/>
  <c r="AO227" i="7"/>
  <c r="AM227" i="7"/>
  <c r="AK227" i="7"/>
  <c r="AI227" i="7"/>
  <c r="AG227" i="7"/>
  <c r="AE227" i="7"/>
  <c r="AC227" i="7"/>
  <c r="AA227" i="7"/>
  <c r="Y227" i="7"/>
  <c r="W227" i="7"/>
  <c r="U227" i="7"/>
  <c r="S227" i="7"/>
  <c r="Q227" i="7"/>
  <c r="O227" i="7"/>
  <c r="M227" i="7"/>
  <c r="K227" i="7"/>
  <c r="I227" i="7"/>
  <c r="G227" i="7"/>
  <c r="E227" i="7"/>
  <c r="AQ226" i="7"/>
  <c r="AO226" i="7"/>
  <c r="AM226" i="7"/>
  <c r="AK226" i="7"/>
  <c r="AI226" i="7"/>
  <c r="AG226" i="7"/>
  <c r="AE226" i="7"/>
  <c r="AC226" i="7"/>
  <c r="AA226" i="7"/>
  <c r="Y226" i="7"/>
  <c r="W226" i="7"/>
  <c r="U226" i="7"/>
  <c r="S226" i="7"/>
  <c r="Q226" i="7"/>
  <c r="O226" i="7"/>
  <c r="M226" i="7"/>
  <c r="K226" i="7"/>
  <c r="I226" i="7"/>
  <c r="G226" i="7"/>
  <c r="E226" i="7"/>
  <c r="AQ225" i="7"/>
  <c r="AO225" i="7"/>
  <c r="AM225" i="7"/>
  <c r="AK225" i="7"/>
  <c r="AI225" i="7"/>
  <c r="AG225" i="7"/>
  <c r="AE225" i="7"/>
  <c r="AC225" i="7"/>
  <c r="AA225" i="7"/>
  <c r="Y225" i="7"/>
  <c r="W225" i="7"/>
  <c r="U225" i="7"/>
  <c r="S225" i="7"/>
  <c r="Q225" i="7"/>
  <c r="O225" i="7"/>
  <c r="M225" i="7"/>
  <c r="K225" i="7"/>
  <c r="I225" i="7"/>
  <c r="G225" i="7"/>
  <c r="E225" i="7"/>
  <c r="AQ224" i="7"/>
  <c r="AO224" i="7"/>
  <c r="AM224" i="7"/>
  <c r="AK224" i="7"/>
  <c r="AI224" i="7"/>
  <c r="AG224" i="7"/>
  <c r="AE224" i="7"/>
  <c r="AC224" i="7"/>
  <c r="AA224" i="7"/>
  <c r="Y224" i="7"/>
  <c r="W224" i="7"/>
  <c r="U224" i="7"/>
  <c r="S224" i="7"/>
  <c r="Q224" i="7"/>
  <c r="O224" i="7"/>
  <c r="M224" i="7"/>
  <c r="K224" i="7"/>
  <c r="I224" i="7"/>
  <c r="G224" i="7"/>
  <c r="E224" i="7"/>
  <c r="AQ223" i="7"/>
  <c r="AO223" i="7"/>
  <c r="AM223" i="7"/>
  <c r="AK223" i="7"/>
  <c r="AI223" i="7"/>
  <c r="AG223" i="7"/>
  <c r="AE223" i="7"/>
  <c r="AC223" i="7"/>
  <c r="AA223" i="7"/>
  <c r="Y223" i="7"/>
  <c r="W223" i="7"/>
  <c r="U223" i="7"/>
  <c r="S223" i="7"/>
  <c r="Q223" i="7"/>
  <c r="O223" i="7"/>
  <c r="M223" i="7"/>
  <c r="K223" i="7"/>
  <c r="I223" i="7"/>
  <c r="G223" i="7"/>
  <c r="E223" i="7"/>
  <c r="AQ222" i="7"/>
  <c r="AO222" i="7"/>
  <c r="AM222" i="7"/>
  <c r="AK222" i="7"/>
  <c r="AI222" i="7"/>
  <c r="AG222" i="7"/>
  <c r="AE222" i="7"/>
  <c r="AC222" i="7"/>
  <c r="AA222" i="7"/>
  <c r="Y222" i="7"/>
  <c r="W222" i="7"/>
  <c r="U222" i="7"/>
  <c r="S222" i="7"/>
  <c r="Q222" i="7"/>
  <c r="O222" i="7"/>
  <c r="M222" i="7"/>
  <c r="K222" i="7"/>
  <c r="I222" i="7"/>
  <c r="G222" i="7"/>
  <c r="E222" i="7"/>
  <c r="AQ221" i="7"/>
  <c r="AO221" i="7"/>
  <c r="AM221" i="7"/>
  <c r="AK221" i="7"/>
  <c r="AI221" i="7"/>
  <c r="AG221" i="7"/>
  <c r="AE221" i="7"/>
  <c r="AC221" i="7"/>
  <c r="AA221" i="7"/>
  <c r="Y221" i="7"/>
  <c r="W221" i="7"/>
  <c r="U221" i="7"/>
  <c r="S221" i="7"/>
  <c r="Q221" i="7"/>
  <c r="O221" i="7"/>
  <c r="M221" i="7"/>
  <c r="K221" i="7"/>
  <c r="I221" i="7"/>
  <c r="G221" i="7"/>
  <c r="E221" i="7"/>
  <c r="AQ220" i="7"/>
  <c r="AO220" i="7"/>
  <c r="AM220" i="7"/>
  <c r="AK220" i="7"/>
  <c r="AI220" i="7"/>
  <c r="AG220" i="7"/>
  <c r="AE220" i="7"/>
  <c r="AC220" i="7"/>
  <c r="AA220" i="7"/>
  <c r="Y220" i="7"/>
  <c r="W220" i="7"/>
  <c r="U220" i="7"/>
  <c r="S220" i="7"/>
  <c r="Q220" i="7"/>
  <c r="O220" i="7"/>
  <c r="M220" i="7"/>
  <c r="K220" i="7"/>
  <c r="I220" i="7"/>
  <c r="G220" i="7"/>
  <c r="E220" i="7"/>
  <c r="AQ219" i="7"/>
  <c r="AO219" i="7"/>
  <c r="AM219" i="7"/>
  <c r="AK219" i="7"/>
  <c r="AI219" i="7"/>
  <c r="AG219" i="7"/>
  <c r="AE219" i="7"/>
  <c r="AC219" i="7"/>
  <c r="AA219" i="7"/>
  <c r="Y219" i="7"/>
  <c r="W219" i="7"/>
  <c r="U219" i="7"/>
  <c r="S219" i="7"/>
  <c r="Q219" i="7"/>
  <c r="O219" i="7"/>
  <c r="M219" i="7"/>
  <c r="K219" i="7"/>
  <c r="I219" i="7"/>
  <c r="G219" i="7"/>
  <c r="E219" i="7"/>
  <c r="AQ218" i="7"/>
  <c r="AO218" i="7"/>
  <c r="AM218" i="7"/>
  <c r="AK218" i="7"/>
  <c r="AI218" i="7"/>
  <c r="AG218" i="7"/>
  <c r="AE218" i="7"/>
  <c r="AC218" i="7"/>
  <c r="AA218" i="7"/>
  <c r="Y218" i="7"/>
  <c r="W218" i="7"/>
  <c r="U218" i="7"/>
  <c r="S218" i="7"/>
  <c r="Q218" i="7"/>
  <c r="O218" i="7"/>
  <c r="M218" i="7"/>
  <c r="K218" i="7"/>
  <c r="I218" i="7"/>
  <c r="G218" i="7"/>
  <c r="E218" i="7"/>
  <c r="AQ217" i="7"/>
  <c r="AO217" i="7"/>
  <c r="AM217" i="7"/>
  <c r="AK217" i="7"/>
  <c r="AI217" i="7"/>
  <c r="AG217" i="7"/>
  <c r="AE217" i="7"/>
  <c r="AC217" i="7"/>
  <c r="AA217" i="7"/>
  <c r="Y217" i="7"/>
  <c r="W217" i="7"/>
  <c r="U217" i="7"/>
  <c r="S217" i="7"/>
  <c r="Q217" i="7"/>
  <c r="O217" i="7"/>
  <c r="M217" i="7"/>
  <c r="K217" i="7"/>
  <c r="I217" i="7"/>
  <c r="G217" i="7"/>
  <c r="E217" i="7"/>
  <c r="AQ216" i="7"/>
  <c r="AO216" i="7"/>
  <c r="AM216" i="7"/>
  <c r="AK216" i="7"/>
  <c r="AI216" i="7"/>
  <c r="AG216" i="7"/>
  <c r="AE216" i="7"/>
  <c r="AC216" i="7"/>
  <c r="AA216" i="7"/>
  <c r="Y216" i="7"/>
  <c r="W216" i="7"/>
  <c r="U216" i="7"/>
  <c r="S216" i="7"/>
  <c r="Q216" i="7"/>
  <c r="O216" i="7"/>
  <c r="M216" i="7"/>
  <c r="K216" i="7"/>
  <c r="I216" i="7"/>
  <c r="G216" i="7"/>
  <c r="E216" i="7"/>
  <c r="AQ215" i="7"/>
  <c r="AO215" i="7"/>
  <c r="AM215" i="7"/>
  <c r="AK215" i="7"/>
  <c r="AI215" i="7"/>
  <c r="AG215" i="7"/>
  <c r="AE215" i="7"/>
  <c r="AC215" i="7"/>
  <c r="AA215" i="7"/>
  <c r="Y215" i="7"/>
  <c r="W215" i="7"/>
  <c r="U215" i="7"/>
  <c r="S215" i="7"/>
  <c r="Q215" i="7"/>
  <c r="O215" i="7"/>
  <c r="M215" i="7"/>
  <c r="K215" i="7"/>
  <c r="I215" i="7"/>
  <c r="G215" i="7"/>
  <c r="E215" i="7"/>
  <c r="AQ214" i="7"/>
  <c r="AO214" i="7"/>
  <c r="AM214" i="7"/>
  <c r="AK214" i="7"/>
  <c r="AI214" i="7"/>
  <c r="AG214" i="7"/>
  <c r="AE214" i="7"/>
  <c r="AC214" i="7"/>
  <c r="AA214" i="7"/>
  <c r="Y214" i="7"/>
  <c r="W214" i="7"/>
  <c r="U214" i="7"/>
  <c r="S214" i="7"/>
  <c r="Q214" i="7"/>
  <c r="O214" i="7"/>
  <c r="M214" i="7"/>
  <c r="K214" i="7"/>
  <c r="I214" i="7"/>
  <c r="G214" i="7"/>
  <c r="E214" i="7"/>
  <c r="AQ213" i="7"/>
  <c r="AO213" i="7"/>
  <c r="AM213" i="7"/>
  <c r="AK213" i="7"/>
  <c r="AI213" i="7"/>
  <c r="AG213" i="7"/>
  <c r="AE213" i="7"/>
  <c r="AC213" i="7"/>
  <c r="AA213" i="7"/>
  <c r="Y213" i="7"/>
  <c r="W213" i="7"/>
  <c r="U213" i="7"/>
  <c r="S213" i="7"/>
  <c r="Q213" i="7"/>
  <c r="O213" i="7"/>
  <c r="M213" i="7"/>
  <c r="K213" i="7"/>
  <c r="I213" i="7"/>
  <c r="G213" i="7"/>
  <c r="E213" i="7"/>
  <c r="AQ212" i="7"/>
  <c r="AO212" i="7"/>
  <c r="AM212" i="7"/>
  <c r="AK212" i="7"/>
  <c r="AI212" i="7"/>
  <c r="AG212" i="7"/>
  <c r="AE212" i="7"/>
  <c r="AC212" i="7"/>
  <c r="AA212" i="7"/>
  <c r="Y212" i="7"/>
  <c r="W212" i="7"/>
  <c r="U212" i="7"/>
  <c r="S212" i="7"/>
  <c r="Q212" i="7"/>
  <c r="O212" i="7"/>
  <c r="M212" i="7"/>
  <c r="K212" i="7"/>
  <c r="I212" i="7"/>
  <c r="G212" i="7"/>
  <c r="E212" i="7"/>
  <c r="AQ211" i="7"/>
  <c r="AO211" i="7"/>
  <c r="AM211" i="7"/>
  <c r="AK211" i="7"/>
  <c r="AI211" i="7"/>
  <c r="AG211" i="7"/>
  <c r="AE211" i="7"/>
  <c r="AC211" i="7"/>
  <c r="AA211" i="7"/>
  <c r="Y211" i="7"/>
  <c r="W211" i="7"/>
  <c r="U211" i="7"/>
  <c r="S211" i="7"/>
  <c r="Q211" i="7"/>
  <c r="O211" i="7"/>
  <c r="M211" i="7"/>
  <c r="K211" i="7"/>
  <c r="I211" i="7"/>
  <c r="G211" i="7"/>
  <c r="E211" i="7"/>
  <c r="AQ210" i="7"/>
  <c r="AO210" i="7"/>
  <c r="AM210" i="7"/>
  <c r="AK210" i="7"/>
  <c r="AI210" i="7"/>
  <c r="AG210" i="7"/>
  <c r="AE210" i="7"/>
  <c r="AC210" i="7"/>
  <c r="AA210" i="7"/>
  <c r="Y210" i="7"/>
  <c r="W210" i="7"/>
  <c r="U210" i="7"/>
  <c r="S210" i="7"/>
  <c r="Q210" i="7"/>
  <c r="O210" i="7"/>
  <c r="M210" i="7"/>
  <c r="K210" i="7"/>
  <c r="I210" i="7"/>
  <c r="G210" i="7"/>
  <c r="E210" i="7"/>
  <c r="AQ209" i="7"/>
  <c r="AO209" i="7"/>
  <c r="AM209" i="7"/>
  <c r="AK209" i="7"/>
  <c r="AI209" i="7"/>
  <c r="AG209" i="7"/>
  <c r="AE209" i="7"/>
  <c r="AC209" i="7"/>
  <c r="AA209" i="7"/>
  <c r="Y209" i="7"/>
  <c r="W209" i="7"/>
  <c r="U209" i="7"/>
  <c r="S209" i="7"/>
  <c r="Q209" i="7"/>
  <c r="O209" i="7"/>
  <c r="M209" i="7"/>
  <c r="K209" i="7"/>
  <c r="I209" i="7"/>
  <c r="G209" i="7"/>
  <c r="E209" i="7"/>
  <c r="AQ208" i="7"/>
  <c r="AO208" i="7"/>
  <c r="AM208" i="7"/>
  <c r="AK208" i="7"/>
  <c r="AI208" i="7"/>
  <c r="AG208" i="7"/>
  <c r="AE208" i="7"/>
  <c r="AC208" i="7"/>
  <c r="AA208" i="7"/>
  <c r="Y208" i="7"/>
  <c r="W208" i="7"/>
  <c r="U208" i="7"/>
  <c r="S208" i="7"/>
  <c r="Q208" i="7"/>
  <c r="O208" i="7"/>
  <c r="M208" i="7"/>
  <c r="K208" i="7"/>
  <c r="I208" i="7"/>
  <c r="G208" i="7"/>
  <c r="E208" i="7"/>
  <c r="AQ207" i="7"/>
  <c r="AO207" i="7"/>
  <c r="AM207" i="7"/>
  <c r="AK207" i="7"/>
  <c r="AI207" i="7"/>
  <c r="AG207" i="7"/>
  <c r="AE207" i="7"/>
  <c r="AC207" i="7"/>
  <c r="AA207" i="7"/>
  <c r="Y207" i="7"/>
  <c r="W207" i="7"/>
  <c r="U207" i="7"/>
  <c r="S207" i="7"/>
  <c r="Q207" i="7"/>
  <c r="O207" i="7"/>
  <c r="M207" i="7"/>
  <c r="K207" i="7"/>
  <c r="I207" i="7"/>
  <c r="G207" i="7"/>
  <c r="E207" i="7"/>
  <c r="AQ206" i="7"/>
  <c r="AO206" i="7"/>
  <c r="AM206" i="7"/>
  <c r="AK206" i="7"/>
  <c r="AI206" i="7"/>
  <c r="AG206" i="7"/>
  <c r="AE206" i="7"/>
  <c r="AC206" i="7"/>
  <c r="AA206" i="7"/>
  <c r="Y206" i="7"/>
  <c r="W206" i="7"/>
  <c r="U206" i="7"/>
  <c r="S206" i="7"/>
  <c r="Q206" i="7"/>
  <c r="O206" i="7"/>
  <c r="M206" i="7"/>
  <c r="K206" i="7"/>
  <c r="I206" i="7"/>
  <c r="G206" i="7"/>
  <c r="E206" i="7"/>
  <c r="AQ205" i="7"/>
  <c r="AO205" i="7"/>
  <c r="AM205" i="7"/>
  <c r="AK205" i="7"/>
  <c r="AI205" i="7"/>
  <c r="AG205" i="7"/>
  <c r="AE205" i="7"/>
  <c r="AC205" i="7"/>
  <c r="AA205" i="7"/>
  <c r="Y205" i="7"/>
  <c r="W205" i="7"/>
  <c r="U205" i="7"/>
  <c r="S205" i="7"/>
  <c r="Q205" i="7"/>
  <c r="O205" i="7"/>
  <c r="M205" i="7"/>
  <c r="K205" i="7"/>
  <c r="I205" i="7"/>
  <c r="G205" i="7"/>
  <c r="E205" i="7"/>
  <c r="AQ204" i="7"/>
  <c r="AO204" i="7"/>
  <c r="AM204" i="7"/>
  <c r="AK204" i="7"/>
  <c r="AI204" i="7"/>
  <c r="AG204" i="7"/>
  <c r="AE204" i="7"/>
  <c r="AC204" i="7"/>
  <c r="AA204" i="7"/>
  <c r="Y204" i="7"/>
  <c r="W204" i="7"/>
  <c r="U204" i="7"/>
  <c r="S204" i="7"/>
  <c r="Q204" i="7"/>
  <c r="O204" i="7"/>
  <c r="M204" i="7"/>
  <c r="K204" i="7"/>
  <c r="I204" i="7"/>
  <c r="G204" i="7"/>
  <c r="E204" i="7"/>
  <c r="AQ203" i="7"/>
  <c r="AO203" i="7"/>
  <c r="AM203" i="7"/>
  <c r="AK203" i="7"/>
  <c r="AI203" i="7"/>
  <c r="AG203" i="7"/>
  <c r="AE203" i="7"/>
  <c r="AC203" i="7"/>
  <c r="AA203" i="7"/>
  <c r="Y203" i="7"/>
  <c r="W203" i="7"/>
  <c r="U203" i="7"/>
  <c r="S203" i="7"/>
  <c r="Q203" i="7"/>
  <c r="O203" i="7"/>
  <c r="M203" i="7"/>
  <c r="K203" i="7"/>
  <c r="I203" i="7"/>
  <c r="G203" i="7"/>
  <c r="E203" i="7"/>
  <c r="AQ202" i="7"/>
  <c r="AO202" i="7"/>
  <c r="AM202" i="7"/>
  <c r="AK202" i="7"/>
  <c r="AI202" i="7"/>
  <c r="AG202" i="7"/>
  <c r="AE202" i="7"/>
  <c r="AC202" i="7"/>
  <c r="AA202" i="7"/>
  <c r="Y202" i="7"/>
  <c r="W202" i="7"/>
  <c r="U202" i="7"/>
  <c r="S202" i="7"/>
  <c r="Q202" i="7"/>
  <c r="O202" i="7"/>
  <c r="M202" i="7"/>
  <c r="K202" i="7"/>
  <c r="I202" i="7"/>
  <c r="G202" i="7"/>
  <c r="E202" i="7"/>
  <c r="AQ201" i="7"/>
  <c r="AO201" i="7"/>
  <c r="AM201" i="7"/>
  <c r="AK201" i="7"/>
  <c r="AI201" i="7"/>
  <c r="AG201" i="7"/>
  <c r="AE201" i="7"/>
  <c r="AC201" i="7"/>
  <c r="AA201" i="7"/>
  <c r="Y201" i="7"/>
  <c r="W201" i="7"/>
  <c r="U201" i="7"/>
  <c r="S201" i="7"/>
  <c r="Q201" i="7"/>
  <c r="O201" i="7"/>
  <c r="M201" i="7"/>
  <c r="K201" i="7"/>
  <c r="I201" i="7"/>
  <c r="G201" i="7"/>
  <c r="E201" i="7"/>
  <c r="AQ200" i="7"/>
  <c r="AO200" i="7"/>
  <c r="AM200" i="7"/>
  <c r="AK200" i="7"/>
  <c r="AI200" i="7"/>
  <c r="AG200" i="7"/>
  <c r="AE200" i="7"/>
  <c r="AC200" i="7"/>
  <c r="AA200" i="7"/>
  <c r="Y200" i="7"/>
  <c r="W200" i="7"/>
  <c r="U200" i="7"/>
  <c r="S200" i="7"/>
  <c r="Q200" i="7"/>
  <c r="O200" i="7"/>
  <c r="M200" i="7"/>
  <c r="K200" i="7"/>
  <c r="I200" i="7"/>
  <c r="G200" i="7"/>
  <c r="E200" i="7"/>
  <c r="AQ199" i="7"/>
  <c r="AO199" i="7"/>
  <c r="AM199" i="7"/>
  <c r="AK199" i="7"/>
  <c r="AI199" i="7"/>
  <c r="AG199" i="7"/>
  <c r="AE199" i="7"/>
  <c r="AC199" i="7"/>
  <c r="AA199" i="7"/>
  <c r="Y199" i="7"/>
  <c r="W199" i="7"/>
  <c r="U199" i="7"/>
  <c r="S199" i="7"/>
  <c r="Q199" i="7"/>
  <c r="O199" i="7"/>
  <c r="M199" i="7"/>
  <c r="K199" i="7"/>
  <c r="I199" i="7"/>
  <c r="G199" i="7"/>
  <c r="E199" i="7"/>
  <c r="AQ198" i="7"/>
  <c r="AO198" i="7"/>
  <c r="AM198" i="7"/>
  <c r="AK198" i="7"/>
  <c r="AI198" i="7"/>
  <c r="AG198" i="7"/>
  <c r="AE198" i="7"/>
  <c r="AC198" i="7"/>
  <c r="AA198" i="7"/>
  <c r="Y198" i="7"/>
  <c r="W198" i="7"/>
  <c r="U198" i="7"/>
  <c r="S198" i="7"/>
  <c r="Q198" i="7"/>
  <c r="O198" i="7"/>
  <c r="M198" i="7"/>
  <c r="K198" i="7"/>
  <c r="I198" i="7"/>
  <c r="G198" i="7"/>
  <c r="E198" i="7"/>
  <c r="AQ197" i="7"/>
  <c r="AO197" i="7"/>
  <c r="AM197" i="7"/>
  <c r="AK197" i="7"/>
  <c r="AI197" i="7"/>
  <c r="AG197" i="7"/>
  <c r="AE197" i="7"/>
  <c r="AC197" i="7"/>
  <c r="AA197" i="7"/>
  <c r="Y197" i="7"/>
  <c r="W197" i="7"/>
  <c r="U197" i="7"/>
  <c r="S197" i="7"/>
  <c r="Q197" i="7"/>
  <c r="O197" i="7"/>
  <c r="M197" i="7"/>
  <c r="K197" i="7"/>
  <c r="I197" i="7"/>
  <c r="G197" i="7"/>
  <c r="E197" i="7"/>
  <c r="AQ196" i="7"/>
  <c r="AO196" i="7"/>
  <c r="AM196" i="7"/>
  <c r="AK196" i="7"/>
  <c r="AI196" i="7"/>
  <c r="AG196" i="7"/>
  <c r="AE196" i="7"/>
  <c r="AC196" i="7"/>
  <c r="AA196" i="7"/>
  <c r="Y196" i="7"/>
  <c r="W196" i="7"/>
  <c r="U196" i="7"/>
  <c r="S196" i="7"/>
  <c r="Q196" i="7"/>
  <c r="O196" i="7"/>
  <c r="M196" i="7"/>
  <c r="K196" i="7"/>
  <c r="I196" i="7"/>
  <c r="G196" i="7"/>
  <c r="E196" i="7"/>
  <c r="AQ195" i="7"/>
  <c r="AO195" i="7"/>
  <c r="AM195" i="7"/>
  <c r="AK195" i="7"/>
  <c r="AI195" i="7"/>
  <c r="AG195" i="7"/>
  <c r="AE195" i="7"/>
  <c r="AC195" i="7"/>
  <c r="AA195" i="7"/>
  <c r="Y195" i="7"/>
  <c r="W195" i="7"/>
  <c r="U195" i="7"/>
  <c r="S195" i="7"/>
  <c r="Q195" i="7"/>
  <c r="O195" i="7"/>
  <c r="M195" i="7"/>
  <c r="K195" i="7"/>
  <c r="I195" i="7"/>
  <c r="G195" i="7"/>
  <c r="E195" i="7"/>
  <c r="AQ194" i="7"/>
  <c r="AO194" i="7"/>
  <c r="AM194" i="7"/>
  <c r="AK194" i="7"/>
  <c r="AI194" i="7"/>
  <c r="AG194" i="7"/>
  <c r="AE194" i="7"/>
  <c r="AC194" i="7"/>
  <c r="AA194" i="7"/>
  <c r="Y194" i="7"/>
  <c r="W194" i="7"/>
  <c r="U194" i="7"/>
  <c r="S194" i="7"/>
  <c r="Q194" i="7"/>
  <c r="O194" i="7"/>
  <c r="M194" i="7"/>
  <c r="K194" i="7"/>
  <c r="I194" i="7"/>
  <c r="G194" i="7"/>
  <c r="E194" i="7"/>
  <c r="AQ193" i="7"/>
  <c r="AO193" i="7"/>
  <c r="AM193" i="7"/>
  <c r="AK193" i="7"/>
  <c r="AI193" i="7"/>
  <c r="AG193" i="7"/>
  <c r="AE193" i="7"/>
  <c r="AC193" i="7"/>
  <c r="AA193" i="7"/>
  <c r="Y193" i="7"/>
  <c r="W193" i="7"/>
  <c r="U193" i="7"/>
  <c r="S193" i="7"/>
  <c r="Q193" i="7"/>
  <c r="O193" i="7"/>
  <c r="M193" i="7"/>
  <c r="K193" i="7"/>
  <c r="I193" i="7"/>
  <c r="G193" i="7"/>
  <c r="E193" i="7"/>
  <c r="AQ192" i="7"/>
  <c r="AO192" i="7"/>
  <c r="AM192" i="7"/>
  <c r="AK192" i="7"/>
  <c r="AI192" i="7"/>
  <c r="AG192" i="7"/>
  <c r="AE192" i="7"/>
  <c r="AC192" i="7"/>
  <c r="AA192" i="7"/>
  <c r="Y192" i="7"/>
  <c r="W192" i="7"/>
  <c r="U192" i="7"/>
  <c r="S192" i="7"/>
  <c r="Q192" i="7"/>
  <c r="O192" i="7"/>
  <c r="M192" i="7"/>
  <c r="K192" i="7"/>
  <c r="I192" i="7"/>
  <c r="G192" i="7"/>
  <c r="E192" i="7"/>
  <c r="AQ191" i="7"/>
  <c r="AO191" i="7"/>
  <c r="AM191" i="7"/>
  <c r="AK191" i="7"/>
  <c r="AI191" i="7"/>
  <c r="AG191" i="7"/>
  <c r="AE191" i="7"/>
  <c r="AC191" i="7"/>
  <c r="AA191" i="7"/>
  <c r="Y191" i="7"/>
  <c r="W191" i="7"/>
  <c r="U191" i="7"/>
  <c r="S191" i="7"/>
  <c r="Q191" i="7"/>
  <c r="O191" i="7"/>
  <c r="M191" i="7"/>
  <c r="K191" i="7"/>
  <c r="I191" i="7"/>
  <c r="G191" i="7"/>
  <c r="E191" i="7"/>
  <c r="AQ190" i="7"/>
  <c r="AO190" i="7"/>
  <c r="AM190" i="7"/>
  <c r="AK190" i="7"/>
  <c r="AI190" i="7"/>
  <c r="AG190" i="7"/>
  <c r="AE190" i="7"/>
  <c r="AC190" i="7"/>
  <c r="AA190" i="7"/>
  <c r="Y190" i="7"/>
  <c r="W190" i="7"/>
  <c r="U190" i="7"/>
  <c r="S190" i="7"/>
  <c r="Q190" i="7"/>
  <c r="O190" i="7"/>
  <c r="M190" i="7"/>
  <c r="K190" i="7"/>
  <c r="I190" i="7"/>
  <c r="G190" i="7"/>
  <c r="E190" i="7"/>
  <c r="AQ189" i="7"/>
  <c r="AO189" i="7"/>
  <c r="AM189" i="7"/>
  <c r="AK189" i="7"/>
  <c r="AI189" i="7"/>
  <c r="AG189" i="7"/>
  <c r="AE189" i="7"/>
  <c r="AC189" i="7"/>
  <c r="AA189" i="7"/>
  <c r="Y189" i="7"/>
  <c r="W189" i="7"/>
  <c r="U189" i="7"/>
  <c r="S189" i="7"/>
  <c r="Q189" i="7"/>
  <c r="O189" i="7"/>
  <c r="M189" i="7"/>
  <c r="K189" i="7"/>
  <c r="I189" i="7"/>
  <c r="G189" i="7"/>
  <c r="E189" i="7"/>
  <c r="AQ188" i="7"/>
  <c r="AO188" i="7"/>
  <c r="AM188" i="7"/>
  <c r="AK188" i="7"/>
  <c r="AI188" i="7"/>
  <c r="AG188" i="7"/>
  <c r="AE188" i="7"/>
  <c r="AC188" i="7"/>
  <c r="AA188" i="7"/>
  <c r="Y188" i="7"/>
  <c r="W188" i="7"/>
  <c r="U188" i="7"/>
  <c r="S188" i="7"/>
  <c r="Q188" i="7"/>
  <c r="O188" i="7"/>
  <c r="M188" i="7"/>
  <c r="K188" i="7"/>
  <c r="I188" i="7"/>
  <c r="G188" i="7"/>
  <c r="E188" i="7"/>
  <c r="AQ187" i="7"/>
  <c r="AO187" i="7"/>
  <c r="AM187" i="7"/>
  <c r="AK187" i="7"/>
  <c r="AI187" i="7"/>
  <c r="AG187" i="7"/>
  <c r="AE187" i="7"/>
  <c r="AC187" i="7"/>
  <c r="AA187" i="7"/>
  <c r="Y187" i="7"/>
  <c r="W187" i="7"/>
  <c r="U187" i="7"/>
  <c r="S187" i="7"/>
  <c r="Q187" i="7"/>
  <c r="O187" i="7"/>
  <c r="M187" i="7"/>
  <c r="K187" i="7"/>
  <c r="I187" i="7"/>
  <c r="G187" i="7"/>
  <c r="E187" i="7"/>
  <c r="AQ186" i="7"/>
  <c r="AO186" i="7"/>
  <c r="AM186" i="7"/>
  <c r="AK186" i="7"/>
  <c r="AI186" i="7"/>
  <c r="AG186" i="7"/>
  <c r="AE186" i="7"/>
  <c r="AC186" i="7"/>
  <c r="AA186" i="7"/>
  <c r="Y186" i="7"/>
  <c r="W186" i="7"/>
  <c r="U186" i="7"/>
  <c r="S186" i="7"/>
  <c r="Q186" i="7"/>
  <c r="O186" i="7"/>
  <c r="M186" i="7"/>
  <c r="K186" i="7"/>
  <c r="I186" i="7"/>
  <c r="G186" i="7"/>
  <c r="E186" i="7"/>
  <c r="AQ185" i="7"/>
  <c r="AO185" i="7"/>
  <c r="AM185" i="7"/>
  <c r="AK185" i="7"/>
  <c r="AI185" i="7"/>
  <c r="AG185" i="7"/>
  <c r="AE185" i="7"/>
  <c r="AC185" i="7"/>
  <c r="AA185" i="7"/>
  <c r="Y185" i="7"/>
  <c r="W185" i="7"/>
  <c r="U185" i="7"/>
  <c r="S185" i="7"/>
  <c r="Q185" i="7"/>
  <c r="O185" i="7"/>
  <c r="M185" i="7"/>
  <c r="K185" i="7"/>
  <c r="I185" i="7"/>
  <c r="G185" i="7"/>
  <c r="E185" i="7"/>
  <c r="AQ184" i="7"/>
  <c r="AO184" i="7"/>
  <c r="AM184" i="7"/>
  <c r="AK184" i="7"/>
  <c r="AI184" i="7"/>
  <c r="AG184" i="7"/>
  <c r="AE184" i="7"/>
  <c r="AC184" i="7"/>
  <c r="AA184" i="7"/>
  <c r="Y184" i="7"/>
  <c r="W184" i="7"/>
  <c r="U184" i="7"/>
  <c r="S184" i="7"/>
  <c r="Q184" i="7"/>
  <c r="O184" i="7"/>
  <c r="M184" i="7"/>
  <c r="K184" i="7"/>
  <c r="I184" i="7"/>
  <c r="G184" i="7"/>
  <c r="E184" i="7"/>
  <c r="AQ183" i="7"/>
  <c r="AO183" i="7"/>
  <c r="AM183" i="7"/>
  <c r="AK183" i="7"/>
  <c r="AI183" i="7"/>
  <c r="AG183" i="7"/>
  <c r="AE183" i="7"/>
  <c r="AC183" i="7"/>
  <c r="AA183" i="7"/>
  <c r="Y183" i="7"/>
  <c r="W183" i="7"/>
  <c r="U183" i="7"/>
  <c r="S183" i="7"/>
  <c r="Q183" i="7"/>
  <c r="O183" i="7"/>
  <c r="M183" i="7"/>
  <c r="K183" i="7"/>
  <c r="I183" i="7"/>
  <c r="G183" i="7"/>
  <c r="E183" i="7"/>
  <c r="AQ182" i="7"/>
  <c r="AO182" i="7"/>
  <c r="AM182" i="7"/>
  <c r="AK182" i="7"/>
  <c r="AI182" i="7"/>
  <c r="AG182" i="7"/>
  <c r="AE182" i="7"/>
  <c r="AC182" i="7"/>
  <c r="AA182" i="7"/>
  <c r="Y182" i="7"/>
  <c r="W182" i="7"/>
  <c r="U182" i="7"/>
  <c r="S182" i="7"/>
  <c r="Q182" i="7"/>
  <c r="O182" i="7"/>
  <c r="M182" i="7"/>
  <c r="K182" i="7"/>
  <c r="I182" i="7"/>
  <c r="G182" i="7"/>
  <c r="E182" i="7"/>
  <c r="AQ181" i="7"/>
  <c r="AO181" i="7"/>
  <c r="AM181" i="7"/>
  <c r="AK181" i="7"/>
  <c r="AI181" i="7"/>
  <c r="AG181" i="7"/>
  <c r="AE181" i="7"/>
  <c r="AC181" i="7"/>
  <c r="AA181" i="7"/>
  <c r="Y181" i="7"/>
  <c r="W181" i="7"/>
  <c r="U181" i="7"/>
  <c r="S181" i="7"/>
  <c r="Q181" i="7"/>
  <c r="O181" i="7"/>
  <c r="M181" i="7"/>
  <c r="K181" i="7"/>
  <c r="I181" i="7"/>
  <c r="G181" i="7"/>
  <c r="E181" i="7"/>
  <c r="AQ180" i="7"/>
  <c r="AO180" i="7"/>
  <c r="AM180" i="7"/>
  <c r="AK180" i="7"/>
  <c r="AI180" i="7"/>
  <c r="AG180" i="7"/>
  <c r="AE180" i="7"/>
  <c r="AC180" i="7"/>
  <c r="AA180" i="7"/>
  <c r="Y180" i="7"/>
  <c r="W180" i="7"/>
  <c r="U180" i="7"/>
  <c r="S180" i="7"/>
  <c r="Q180" i="7"/>
  <c r="O180" i="7"/>
  <c r="M180" i="7"/>
  <c r="K180" i="7"/>
  <c r="I180" i="7"/>
  <c r="G180" i="7"/>
  <c r="E180" i="7"/>
  <c r="AQ179" i="7"/>
  <c r="AO179" i="7"/>
  <c r="AM179" i="7"/>
  <c r="AK179" i="7"/>
  <c r="AI179" i="7"/>
  <c r="AG179" i="7"/>
  <c r="AE179" i="7"/>
  <c r="AC179" i="7"/>
  <c r="AA179" i="7"/>
  <c r="Y179" i="7"/>
  <c r="W179" i="7"/>
  <c r="U179" i="7"/>
  <c r="S179" i="7"/>
  <c r="Q179" i="7"/>
  <c r="O179" i="7"/>
  <c r="M179" i="7"/>
  <c r="K179" i="7"/>
  <c r="I179" i="7"/>
  <c r="G179" i="7"/>
  <c r="E179" i="7"/>
  <c r="AQ178" i="7"/>
  <c r="AO178" i="7"/>
  <c r="AM178" i="7"/>
  <c r="AK178" i="7"/>
  <c r="AI178" i="7"/>
  <c r="AG178" i="7"/>
  <c r="AE178" i="7"/>
  <c r="AC178" i="7"/>
  <c r="AA178" i="7"/>
  <c r="Y178" i="7"/>
  <c r="W178" i="7"/>
  <c r="U178" i="7"/>
  <c r="S178" i="7"/>
  <c r="Q178" i="7"/>
  <c r="O178" i="7"/>
  <c r="M178" i="7"/>
  <c r="K178" i="7"/>
  <c r="I178" i="7"/>
  <c r="G178" i="7"/>
  <c r="E178" i="7"/>
  <c r="AQ177" i="7"/>
  <c r="AO177" i="7"/>
  <c r="AM177" i="7"/>
  <c r="AK177" i="7"/>
  <c r="AI177" i="7"/>
  <c r="AG177" i="7"/>
  <c r="AE177" i="7"/>
  <c r="AC177" i="7"/>
  <c r="AA177" i="7"/>
  <c r="Y177" i="7"/>
  <c r="W177" i="7"/>
  <c r="U177" i="7"/>
  <c r="S177" i="7"/>
  <c r="Q177" i="7"/>
  <c r="O177" i="7"/>
  <c r="M177" i="7"/>
  <c r="K177" i="7"/>
  <c r="I177" i="7"/>
  <c r="G177" i="7"/>
  <c r="E177" i="7"/>
  <c r="AQ176" i="7"/>
  <c r="AO176" i="7"/>
  <c r="AM176" i="7"/>
  <c r="AK176" i="7"/>
  <c r="AI176" i="7"/>
  <c r="AG176" i="7"/>
  <c r="AE176" i="7"/>
  <c r="AC176" i="7"/>
  <c r="AA176" i="7"/>
  <c r="Y176" i="7"/>
  <c r="W176" i="7"/>
  <c r="U176" i="7"/>
  <c r="S176" i="7"/>
  <c r="Q176" i="7"/>
  <c r="O176" i="7"/>
  <c r="M176" i="7"/>
  <c r="K176" i="7"/>
  <c r="I176" i="7"/>
  <c r="G176" i="7"/>
  <c r="E176" i="7"/>
  <c r="AQ175" i="7"/>
  <c r="AO175" i="7"/>
  <c r="AM175" i="7"/>
  <c r="AK175" i="7"/>
  <c r="AI175" i="7"/>
  <c r="AG175" i="7"/>
  <c r="AE175" i="7"/>
  <c r="AC175" i="7"/>
  <c r="AA175" i="7"/>
  <c r="Y175" i="7"/>
  <c r="W175" i="7"/>
  <c r="U175" i="7"/>
  <c r="S175" i="7"/>
  <c r="Q175" i="7"/>
  <c r="O175" i="7"/>
  <c r="M175" i="7"/>
  <c r="K175" i="7"/>
  <c r="I175" i="7"/>
  <c r="G175" i="7"/>
  <c r="E175" i="7"/>
  <c r="AQ174" i="7"/>
  <c r="AO174" i="7"/>
  <c r="AM174" i="7"/>
  <c r="AK174" i="7"/>
  <c r="AI174" i="7"/>
  <c r="AG174" i="7"/>
  <c r="AE174" i="7"/>
  <c r="AC174" i="7"/>
  <c r="AA174" i="7"/>
  <c r="Y174" i="7"/>
  <c r="W174" i="7"/>
  <c r="U174" i="7"/>
  <c r="S174" i="7"/>
  <c r="Q174" i="7"/>
  <c r="O174" i="7"/>
  <c r="M174" i="7"/>
  <c r="K174" i="7"/>
  <c r="I174" i="7"/>
  <c r="G174" i="7"/>
  <c r="E174" i="7"/>
  <c r="AQ173" i="7"/>
  <c r="AO173" i="7"/>
  <c r="AM173" i="7"/>
  <c r="AK173" i="7"/>
  <c r="AI173" i="7"/>
  <c r="AG173" i="7"/>
  <c r="AE173" i="7"/>
  <c r="AC173" i="7"/>
  <c r="AA173" i="7"/>
  <c r="Y173" i="7"/>
  <c r="W173" i="7"/>
  <c r="U173" i="7"/>
  <c r="S173" i="7"/>
  <c r="Q173" i="7"/>
  <c r="O173" i="7"/>
  <c r="M173" i="7"/>
  <c r="K173" i="7"/>
  <c r="I173" i="7"/>
  <c r="G173" i="7"/>
  <c r="E173" i="7"/>
  <c r="AQ172" i="7"/>
  <c r="AO172" i="7"/>
  <c r="AM172" i="7"/>
  <c r="AK172" i="7"/>
  <c r="AI172" i="7"/>
  <c r="AG172" i="7"/>
  <c r="AE172" i="7"/>
  <c r="AC172" i="7"/>
  <c r="AA172" i="7"/>
  <c r="Y172" i="7"/>
  <c r="W172" i="7"/>
  <c r="U172" i="7"/>
  <c r="S172" i="7"/>
  <c r="Q172" i="7"/>
  <c r="O172" i="7"/>
  <c r="M172" i="7"/>
  <c r="K172" i="7"/>
  <c r="I172" i="7"/>
  <c r="G172" i="7"/>
  <c r="E172" i="7"/>
  <c r="AQ171" i="7"/>
  <c r="AO171" i="7"/>
  <c r="AM171" i="7"/>
  <c r="AK171" i="7"/>
  <c r="AI171" i="7"/>
  <c r="AG171" i="7"/>
  <c r="AE171" i="7"/>
  <c r="AC171" i="7"/>
  <c r="AA171" i="7"/>
  <c r="Y171" i="7"/>
  <c r="W171" i="7"/>
  <c r="U171" i="7"/>
  <c r="S171" i="7"/>
  <c r="Q171" i="7"/>
  <c r="O171" i="7"/>
  <c r="M171" i="7"/>
  <c r="K171" i="7"/>
  <c r="I171" i="7"/>
  <c r="G171" i="7"/>
  <c r="E171" i="7"/>
  <c r="AQ170" i="7"/>
  <c r="AO170" i="7"/>
  <c r="AM170" i="7"/>
  <c r="AK170" i="7"/>
  <c r="AI170" i="7"/>
  <c r="AG170" i="7"/>
  <c r="AE170" i="7"/>
  <c r="AC170" i="7"/>
  <c r="AA170" i="7"/>
  <c r="Y170" i="7"/>
  <c r="W170" i="7"/>
  <c r="U170" i="7"/>
  <c r="S170" i="7"/>
  <c r="Q170" i="7"/>
  <c r="O170" i="7"/>
  <c r="M170" i="7"/>
  <c r="K170" i="7"/>
  <c r="I170" i="7"/>
  <c r="G170" i="7"/>
  <c r="E170" i="7"/>
  <c r="AQ169" i="7"/>
  <c r="AO169" i="7"/>
  <c r="AM169" i="7"/>
  <c r="AK169" i="7"/>
  <c r="AI169" i="7"/>
  <c r="AG169" i="7"/>
  <c r="AE169" i="7"/>
  <c r="AC169" i="7"/>
  <c r="AA169" i="7"/>
  <c r="Y169" i="7"/>
  <c r="W169" i="7"/>
  <c r="U169" i="7"/>
  <c r="S169" i="7"/>
  <c r="Q169" i="7"/>
  <c r="O169" i="7"/>
  <c r="M169" i="7"/>
  <c r="K169" i="7"/>
  <c r="I169" i="7"/>
  <c r="G169" i="7"/>
  <c r="E169" i="7"/>
  <c r="AQ168" i="7"/>
  <c r="AO168" i="7"/>
  <c r="AM168" i="7"/>
  <c r="AK168" i="7"/>
  <c r="AI168" i="7"/>
  <c r="AG168" i="7"/>
  <c r="AE168" i="7"/>
  <c r="AC168" i="7"/>
  <c r="AA168" i="7"/>
  <c r="Y168" i="7"/>
  <c r="W168" i="7"/>
  <c r="U168" i="7"/>
  <c r="S168" i="7"/>
  <c r="Q168" i="7"/>
  <c r="O168" i="7"/>
  <c r="M168" i="7"/>
  <c r="K168" i="7"/>
  <c r="I168" i="7"/>
  <c r="G168" i="7"/>
  <c r="E168" i="7"/>
  <c r="AQ167" i="7"/>
  <c r="AO167" i="7"/>
  <c r="AM167" i="7"/>
  <c r="AK167" i="7"/>
  <c r="AI167" i="7"/>
  <c r="AG167" i="7"/>
  <c r="AE167" i="7"/>
  <c r="AC167" i="7"/>
  <c r="AA167" i="7"/>
  <c r="Y167" i="7"/>
  <c r="W167" i="7"/>
  <c r="U167" i="7"/>
  <c r="S167" i="7"/>
  <c r="Q167" i="7"/>
  <c r="O167" i="7"/>
  <c r="M167" i="7"/>
  <c r="K167" i="7"/>
  <c r="I167" i="7"/>
  <c r="G167" i="7"/>
  <c r="E167" i="7"/>
  <c r="AQ166" i="7"/>
  <c r="AO166" i="7"/>
  <c r="AM166" i="7"/>
  <c r="AK166" i="7"/>
  <c r="AI166" i="7"/>
  <c r="AG166" i="7"/>
  <c r="AE166" i="7"/>
  <c r="AC166" i="7"/>
  <c r="AA166" i="7"/>
  <c r="Y166" i="7"/>
  <c r="W166" i="7"/>
  <c r="U166" i="7"/>
  <c r="S166" i="7"/>
  <c r="Q166" i="7"/>
  <c r="O166" i="7"/>
  <c r="M166" i="7"/>
  <c r="K166" i="7"/>
  <c r="I166" i="7"/>
  <c r="G166" i="7"/>
  <c r="E166" i="7"/>
  <c r="AQ165" i="7"/>
  <c r="AO165" i="7"/>
  <c r="AM165" i="7"/>
  <c r="AK165" i="7"/>
  <c r="AI165" i="7"/>
  <c r="AG165" i="7"/>
  <c r="AE165" i="7"/>
  <c r="AC165" i="7"/>
  <c r="AA165" i="7"/>
  <c r="Y165" i="7"/>
  <c r="W165" i="7"/>
  <c r="U165" i="7"/>
  <c r="S165" i="7"/>
  <c r="Q165" i="7"/>
  <c r="O165" i="7"/>
  <c r="M165" i="7"/>
  <c r="K165" i="7"/>
  <c r="I165" i="7"/>
  <c r="G165" i="7"/>
  <c r="E165" i="7"/>
  <c r="AQ164" i="7"/>
  <c r="AO164" i="7"/>
  <c r="AM164" i="7"/>
  <c r="AK164" i="7"/>
  <c r="AI164" i="7"/>
  <c r="AG164" i="7"/>
  <c r="AE164" i="7"/>
  <c r="AC164" i="7"/>
  <c r="AA164" i="7"/>
  <c r="Y164" i="7"/>
  <c r="W164" i="7"/>
  <c r="U164" i="7"/>
  <c r="S164" i="7"/>
  <c r="Q164" i="7"/>
  <c r="O164" i="7"/>
  <c r="M164" i="7"/>
  <c r="K164" i="7"/>
  <c r="I164" i="7"/>
  <c r="G164" i="7"/>
  <c r="E164" i="7"/>
  <c r="AQ163" i="7"/>
  <c r="AO163" i="7"/>
  <c r="AM163" i="7"/>
  <c r="AK163" i="7"/>
  <c r="AI163" i="7"/>
  <c r="AG163" i="7"/>
  <c r="AE163" i="7"/>
  <c r="AC163" i="7"/>
  <c r="AA163" i="7"/>
  <c r="Y163" i="7"/>
  <c r="W163" i="7"/>
  <c r="U163" i="7"/>
  <c r="S163" i="7"/>
  <c r="Q163" i="7"/>
  <c r="O163" i="7"/>
  <c r="M163" i="7"/>
  <c r="K163" i="7"/>
  <c r="I163" i="7"/>
  <c r="G163" i="7"/>
  <c r="E163" i="7"/>
  <c r="AQ162" i="7"/>
  <c r="AO162" i="7"/>
  <c r="AM162" i="7"/>
  <c r="AK162" i="7"/>
  <c r="AI162" i="7"/>
  <c r="AG162" i="7"/>
  <c r="AE162" i="7"/>
  <c r="AC162" i="7"/>
  <c r="AA162" i="7"/>
  <c r="Y162" i="7"/>
  <c r="W162" i="7"/>
  <c r="U162" i="7"/>
  <c r="S162" i="7"/>
  <c r="Q162" i="7"/>
  <c r="O162" i="7"/>
  <c r="M162" i="7"/>
  <c r="K162" i="7"/>
  <c r="I162" i="7"/>
  <c r="G162" i="7"/>
  <c r="E162" i="7"/>
  <c r="AQ161" i="7"/>
  <c r="AO161" i="7"/>
  <c r="AM161" i="7"/>
  <c r="AK161" i="7"/>
  <c r="AI161" i="7"/>
  <c r="AG161" i="7"/>
  <c r="AE161" i="7"/>
  <c r="AC161" i="7"/>
  <c r="AA161" i="7"/>
  <c r="Y161" i="7"/>
  <c r="W161" i="7"/>
  <c r="U161" i="7"/>
  <c r="S161" i="7"/>
  <c r="Q161" i="7"/>
  <c r="O161" i="7"/>
  <c r="M161" i="7"/>
  <c r="K161" i="7"/>
  <c r="I161" i="7"/>
  <c r="G161" i="7"/>
  <c r="E161" i="7"/>
  <c r="AQ160" i="7"/>
  <c r="AO160" i="7"/>
  <c r="AM160" i="7"/>
  <c r="AK160" i="7"/>
  <c r="AI160" i="7"/>
  <c r="AG160" i="7"/>
  <c r="AE160" i="7"/>
  <c r="AC160" i="7"/>
  <c r="AA160" i="7"/>
  <c r="Y160" i="7"/>
  <c r="W160" i="7"/>
  <c r="U160" i="7"/>
  <c r="S160" i="7"/>
  <c r="Q160" i="7"/>
  <c r="O160" i="7"/>
  <c r="M160" i="7"/>
  <c r="K160" i="7"/>
  <c r="I160" i="7"/>
  <c r="G160" i="7"/>
  <c r="E160" i="7"/>
  <c r="AQ159" i="7"/>
  <c r="AO159" i="7"/>
  <c r="AM159" i="7"/>
  <c r="AK159" i="7"/>
  <c r="AI159" i="7"/>
  <c r="AG159" i="7"/>
  <c r="AE159" i="7"/>
  <c r="AC159" i="7"/>
  <c r="AA159" i="7"/>
  <c r="Y159" i="7"/>
  <c r="W159" i="7"/>
  <c r="U159" i="7"/>
  <c r="S159" i="7"/>
  <c r="Q159" i="7"/>
  <c r="O159" i="7"/>
  <c r="M159" i="7"/>
  <c r="K159" i="7"/>
  <c r="I159" i="7"/>
  <c r="G159" i="7"/>
  <c r="E159" i="7"/>
  <c r="AQ158" i="7"/>
  <c r="AO158" i="7"/>
  <c r="AM158" i="7"/>
  <c r="AK158" i="7"/>
  <c r="AI158" i="7"/>
  <c r="AG158" i="7"/>
  <c r="AE158" i="7"/>
  <c r="AC158" i="7"/>
  <c r="AA158" i="7"/>
  <c r="Y158" i="7"/>
  <c r="W158" i="7"/>
  <c r="U158" i="7"/>
  <c r="S158" i="7"/>
  <c r="Q158" i="7"/>
  <c r="O158" i="7"/>
  <c r="M158" i="7"/>
  <c r="K158" i="7"/>
  <c r="I158" i="7"/>
  <c r="G158" i="7"/>
  <c r="E158" i="7"/>
  <c r="AQ157" i="7"/>
  <c r="AO157" i="7"/>
  <c r="AM157" i="7"/>
  <c r="AK157" i="7"/>
  <c r="AI157" i="7"/>
  <c r="AG157" i="7"/>
  <c r="AE157" i="7"/>
  <c r="AC157" i="7"/>
  <c r="AA157" i="7"/>
  <c r="Y157" i="7"/>
  <c r="W157" i="7"/>
  <c r="U157" i="7"/>
  <c r="S157" i="7"/>
  <c r="Q157" i="7"/>
  <c r="O157" i="7"/>
  <c r="M157" i="7"/>
  <c r="K157" i="7"/>
  <c r="I157" i="7"/>
  <c r="G157" i="7"/>
  <c r="E157" i="7"/>
  <c r="AQ156" i="7"/>
  <c r="AO156" i="7"/>
  <c r="AM156" i="7"/>
  <c r="AK156" i="7"/>
  <c r="AI156" i="7"/>
  <c r="AG156" i="7"/>
  <c r="AE156" i="7"/>
  <c r="AC156" i="7"/>
  <c r="AA156" i="7"/>
  <c r="Y156" i="7"/>
  <c r="W156" i="7"/>
  <c r="U156" i="7"/>
  <c r="S156" i="7"/>
  <c r="Q156" i="7"/>
  <c r="O156" i="7"/>
  <c r="M156" i="7"/>
  <c r="K156" i="7"/>
  <c r="I156" i="7"/>
  <c r="G156" i="7"/>
  <c r="E156" i="7"/>
  <c r="AQ155" i="7"/>
  <c r="AO155" i="7"/>
  <c r="AM155" i="7"/>
  <c r="AK155" i="7"/>
  <c r="AI155" i="7"/>
  <c r="AG155" i="7"/>
  <c r="AE155" i="7"/>
  <c r="AC155" i="7"/>
  <c r="AA155" i="7"/>
  <c r="Y155" i="7"/>
  <c r="W155" i="7"/>
  <c r="U155" i="7"/>
  <c r="S155" i="7"/>
  <c r="Q155" i="7"/>
  <c r="O155" i="7"/>
  <c r="M155" i="7"/>
  <c r="K155" i="7"/>
  <c r="I155" i="7"/>
  <c r="G155" i="7"/>
  <c r="E155" i="7"/>
  <c r="AQ154" i="7"/>
  <c r="AO154" i="7"/>
  <c r="AM154" i="7"/>
  <c r="AK154" i="7"/>
  <c r="AI154" i="7"/>
  <c r="AG154" i="7"/>
  <c r="AE154" i="7"/>
  <c r="AC154" i="7"/>
  <c r="AA154" i="7"/>
  <c r="Y154" i="7"/>
  <c r="W154" i="7"/>
  <c r="U154" i="7"/>
  <c r="S154" i="7"/>
  <c r="Q154" i="7"/>
  <c r="O154" i="7"/>
  <c r="M154" i="7"/>
  <c r="K154" i="7"/>
  <c r="I154" i="7"/>
  <c r="G154" i="7"/>
  <c r="E154" i="7"/>
  <c r="AQ153" i="7"/>
  <c r="AO153" i="7"/>
  <c r="AM153" i="7"/>
  <c r="AK153" i="7"/>
  <c r="AI153" i="7"/>
  <c r="AG153" i="7"/>
  <c r="AE153" i="7"/>
  <c r="AC153" i="7"/>
  <c r="AA153" i="7"/>
  <c r="Y153" i="7"/>
  <c r="W153" i="7"/>
  <c r="U153" i="7"/>
  <c r="S153" i="7"/>
  <c r="Q153" i="7"/>
  <c r="O153" i="7"/>
  <c r="M153" i="7"/>
  <c r="K153" i="7"/>
  <c r="I153" i="7"/>
  <c r="G153" i="7"/>
  <c r="E153" i="7"/>
  <c r="AQ152" i="7"/>
  <c r="AO152" i="7"/>
  <c r="AM152" i="7"/>
  <c r="AK152" i="7"/>
  <c r="AI152" i="7"/>
  <c r="AG152" i="7"/>
  <c r="AE152" i="7"/>
  <c r="AC152" i="7"/>
  <c r="AA152" i="7"/>
  <c r="Y152" i="7"/>
  <c r="W152" i="7"/>
  <c r="U152" i="7"/>
  <c r="S152" i="7"/>
  <c r="Q152" i="7"/>
  <c r="O152" i="7"/>
  <c r="M152" i="7"/>
  <c r="K152" i="7"/>
  <c r="I152" i="7"/>
  <c r="G152" i="7"/>
  <c r="E152" i="7"/>
  <c r="AQ151" i="7"/>
  <c r="AO151" i="7"/>
  <c r="AM151" i="7"/>
  <c r="AK151" i="7"/>
  <c r="AI151" i="7"/>
  <c r="AG151" i="7"/>
  <c r="AE151" i="7"/>
  <c r="AC151" i="7"/>
  <c r="AA151" i="7"/>
  <c r="Y151" i="7"/>
  <c r="W151" i="7"/>
  <c r="U151" i="7"/>
  <c r="S151" i="7"/>
  <c r="Q151" i="7"/>
  <c r="O151" i="7"/>
  <c r="M151" i="7"/>
  <c r="K151" i="7"/>
  <c r="I151" i="7"/>
  <c r="G151" i="7"/>
  <c r="E151" i="7"/>
  <c r="AQ150" i="7"/>
  <c r="AO150" i="7"/>
  <c r="AM150" i="7"/>
  <c r="AK150" i="7"/>
  <c r="AI150" i="7"/>
  <c r="AG150" i="7"/>
  <c r="AE150" i="7"/>
  <c r="AC150" i="7"/>
  <c r="AA150" i="7"/>
  <c r="Y150" i="7"/>
  <c r="W150" i="7"/>
  <c r="U150" i="7"/>
  <c r="S150" i="7"/>
  <c r="Q150" i="7"/>
  <c r="O150" i="7"/>
  <c r="M150" i="7"/>
  <c r="K150" i="7"/>
  <c r="I150" i="7"/>
  <c r="G150" i="7"/>
  <c r="E150" i="7"/>
  <c r="AQ149" i="7"/>
  <c r="AO149" i="7"/>
  <c r="AM149" i="7"/>
  <c r="AK149" i="7"/>
  <c r="AI149" i="7"/>
  <c r="AG149" i="7"/>
  <c r="AE149" i="7"/>
  <c r="AC149" i="7"/>
  <c r="AA149" i="7"/>
  <c r="Y149" i="7"/>
  <c r="W149" i="7"/>
  <c r="U149" i="7"/>
  <c r="S149" i="7"/>
  <c r="Q149" i="7"/>
  <c r="O149" i="7"/>
  <c r="M149" i="7"/>
  <c r="K149" i="7"/>
  <c r="I149" i="7"/>
  <c r="G149" i="7"/>
  <c r="E149" i="7"/>
  <c r="AQ148" i="7"/>
  <c r="AO148" i="7"/>
  <c r="AM148" i="7"/>
  <c r="AK148" i="7"/>
  <c r="AI148" i="7"/>
  <c r="AG148" i="7"/>
  <c r="AE148" i="7"/>
  <c r="AC148" i="7"/>
  <c r="AA148" i="7"/>
  <c r="Y148" i="7"/>
  <c r="W148" i="7"/>
  <c r="U148" i="7"/>
  <c r="S148" i="7"/>
  <c r="Q148" i="7"/>
  <c r="O148" i="7"/>
  <c r="M148" i="7"/>
  <c r="K148" i="7"/>
  <c r="I148" i="7"/>
  <c r="G148" i="7"/>
  <c r="E148" i="7"/>
  <c r="AQ147" i="7"/>
  <c r="AO147" i="7"/>
  <c r="AM147" i="7"/>
  <c r="AK147" i="7"/>
  <c r="AI147" i="7"/>
  <c r="AG147" i="7"/>
  <c r="AE147" i="7"/>
  <c r="AC147" i="7"/>
  <c r="AA147" i="7"/>
  <c r="Y147" i="7"/>
  <c r="W147" i="7"/>
  <c r="U147" i="7"/>
  <c r="S147" i="7"/>
  <c r="Q147" i="7"/>
  <c r="O147" i="7"/>
  <c r="M147" i="7"/>
  <c r="K147" i="7"/>
  <c r="I147" i="7"/>
  <c r="G147" i="7"/>
  <c r="E147" i="7"/>
  <c r="AQ146" i="7"/>
  <c r="AO146" i="7"/>
  <c r="AM146" i="7"/>
  <c r="AK146" i="7"/>
  <c r="AI146" i="7"/>
  <c r="AG146" i="7"/>
  <c r="AE146" i="7"/>
  <c r="AC146" i="7"/>
  <c r="AA146" i="7"/>
  <c r="Y146" i="7"/>
  <c r="W146" i="7"/>
  <c r="U146" i="7"/>
  <c r="S146" i="7"/>
  <c r="Q146" i="7"/>
  <c r="O146" i="7"/>
  <c r="M146" i="7"/>
  <c r="K146" i="7"/>
  <c r="I146" i="7"/>
  <c r="G146" i="7"/>
  <c r="E146" i="7"/>
  <c r="AQ145" i="7"/>
  <c r="AO145" i="7"/>
  <c r="AM145" i="7"/>
  <c r="AK145" i="7"/>
  <c r="AI145" i="7"/>
  <c r="AG145" i="7"/>
  <c r="AE145" i="7"/>
  <c r="AC145" i="7"/>
  <c r="AA145" i="7"/>
  <c r="Y145" i="7"/>
  <c r="W145" i="7"/>
  <c r="U145" i="7"/>
  <c r="S145" i="7"/>
  <c r="Q145" i="7"/>
  <c r="O145" i="7"/>
  <c r="M145" i="7"/>
  <c r="K145" i="7"/>
  <c r="I145" i="7"/>
  <c r="G145" i="7"/>
  <c r="E145" i="7"/>
  <c r="AQ144" i="7"/>
  <c r="AO144" i="7"/>
  <c r="AM144" i="7"/>
  <c r="AK144" i="7"/>
  <c r="AI144" i="7"/>
  <c r="AG144" i="7"/>
  <c r="AE144" i="7"/>
  <c r="AC144" i="7"/>
  <c r="AA144" i="7"/>
  <c r="Y144" i="7"/>
  <c r="W144" i="7"/>
  <c r="U144" i="7"/>
  <c r="S144" i="7"/>
  <c r="Q144" i="7"/>
  <c r="O144" i="7"/>
  <c r="M144" i="7"/>
  <c r="K144" i="7"/>
  <c r="I144" i="7"/>
  <c r="G144" i="7"/>
  <c r="E144" i="7"/>
  <c r="AQ143" i="7"/>
  <c r="AO143" i="7"/>
  <c r="AM143" i="7"/>
  <c r="AK143" i="7"/>
  <c r="AI143" i="7"/>
  <c r="AG143" i="7"/>
  <c r="AE143" i="7"/>
  <c r="AC143" i="7"/>
  <c r="AA143" i="7"/>
  <c r="Y143" i="7"/>
  <c r="W143" i="7"/>
  <c r="U143" i="7"/>
  <c r="S143" i="7"/>
  <c r="Q143" i="7"/>
  <c r="O143" i="7"/>
  <c r="M143" i="7"/>
  <c r="K143" i="7"/>
  <c r="I143" i="7"/>
  <c r="G143" i="7"/>
  <c r="E143" i="7"/>
  <c r="AQ142" i="7"/>
  <c r="AO142" i="7"/>
  <c r="AM142" i="7"/>
  <c r="AK142" i="7"/>
  <c r="AI142" i="7"/>
  <c r="AG142" i="7"/>
  <c r="AE142" i="7"/>
  <c r="AC142" i="7"/>
  <c r="AA142" i="7"/>
  <c r="Y142" i="7"/>
  <c r="W142" i="7"/>
  <c r="U142" i="7"/>
  <c r="S142" i="7"/>
  <c r="Q142" i="7"/>
  <c r="O142" i="7"/>
  <c r="M142" i="7"/>
  <c r="K142" i="7"/>
  <c r="I142" i="7"/>
  <c r="G142" i="7"/>
  <c r="E142" i="7"/>
  <c r="AQ141" i="7"/>
  <c r="AO141" i="7"/>
  <c r="AM141" i="7"/>
  <c r="AK141" i="7"/>
  <c r="AI141" i="7"/>
  <c r="AG141" i="7"/>
  <c r="AE141" i="7"/>
  <c r="AC141" i="7"/>
  <c r="AA141" i="7"/>
  <c r="Y141" i="7"/>
  <c r="W141" i="7"/>
  <c r="U141" i="7"/>
  <c r="S141" i="7"/>
  <c r="Q141" i="7"/>
  <c r="O141" i="7"/>
  <c r="M141" i="7"/>
  <c r="K141" i="7"/>
  <c r="I141" i="7"/>
  <c r="G141" i="7"/>
  <c r="E141" i="7"/>
  <c r="AQ140" i="7"/>
  <c r="AO140" i="7"/>
  <c r="AM140" i="7"/>
  <c r="AK140" i="7"/>
  <c r="AI140" i="7"/>
  <c r="AG140" i="7"/>
  <c r="AE140" i="7"/>
  <c r="AC140" i="7"/>
  <c r="AA140" i="7"/>
  <c r="Y140" i="7"/>
  <c r="W140" i="7"/>
  <c r="U140" i="7"/>
  <c r="S140" i="7"/>
  <c r="Q140" i="7"/>
  <c r="O140" i="7"/>
  <c r="M140" i="7"/>
  <c r="K140" i="7"/>
  <c r="I140" i="7"/>
  <c r="G140" i="7"/>
  <c r="E140" i="7"/>
  <c r="AQ139" i="7"/>
  <c r="AO139" i="7"/>
  <c r="AM139" i="7"/>
  <c r="AK139" i="7"/>
  <c r="AI139" i="7"/>
  <c r="AG139" i="7"/>
  <c r="AE139" i="7"/>
  <c r="AC139" i="7"/>
  <c r="AA139" i="7"/>
  <c r="Y139" i="7"/>
  <c r="W139" i="7"/>
  <c r="U139" i="7"/>
  <c r="S139" i="7"/>
  <c r="Q139" i="7"/>
  <c r="O139" i="7"/>
  <c r="M139" i="7"/>
  <c r="K139" i="7"/>
  <c r="I139" i="7"/>
  <c r="G139" i="7"/>
  <c r="E139" i="7"/>
  <c r="AQ138" i="7"/>
  <c r="AO138" i="7"/>
  <c r="AM138" i="7"/>
  <c r="AK138" i="7"/>
  <c r="AI138" i="7"/>
  <c r="AG138" i="7"/>
  <c r="AE138" i="7"/>
  <c r="AC138" i="7"/>
  <c r="AA138" i="7"/>
  <c r="Y138" i="7"/>
  <c r="W138" i="7"/>
  <c r="U138" i="7"/>
  <c r="S138" i="7"/>
  <c r="Q138" i="7"/>
  <c r="O138" i="7"/>
  <c r="M138" i="7"/>
  <c r="K138" i="7"/>
  <c r="I138" i="7"/>
  <c r="G138" i="7"/>
  <c r="E138" i="7"/>
  <c r="AQ137" i="7"/>
  <c r="AO137" i="7"/>
  <c r="AM137" i="7"/>
  <c r="AK137" i="7"/>
  <c r="AI137" i="7"/>
  <c r="AG137" i="7"/>
  <c r="AE137" i="7"/>
  <c r="AC137" i="7"/>
  <c r="AA137" i="7"/>
  <c r="Y137" i="7"/>
  <c r="W137" i="7"/>
  <c r="U137" i="7"/>
  <c r="S137" i="7"/>
  <c r="Q137" i="7"/>
  <c r="O137" i="7"/>
  <c r="M137" i="7"/>
  <c r="K137" i="7"/>
  <c r="I137" i="7"/>
  <c r="G137" i="7"/>
  <c r="E137" i="7"/>
  <c r="AQ136" i="7"/>
  <c r="AO136" i="7"/>
  <c r="AM136" i="7"/>
  <c r="AK136" i="7"/>
  <c r="AI136" i="7"/>
  <c r="AG136" i="7"/>
  <c r="AE136" i="7"/>
  <c r="AC136" i="7"/>
  <c r="AA136" i="7"/>
  <c r="Y136" i="7"/>
  <c r="W136" i="7"/>
  <c r="U136" i="7"/>
  <c r="S136" i="7"/>
  <c r="Q136" i="7"/>
  <c r="O136" i="7"/>
  <c r="M136" i="7"/>
  <c r="K136" i="7"/>
  <c r="I136" i="7"/>
  <c r="G136" i="7"/>
  <c r="E136" i="7"/>
  <c r="AQ135" i="7"/>
  <c r="AO135" i="7"/>
  <c r="AM135" i="7"/>
  <c r="AK135" i="7"/>
  <c r="AI135" i="7"/>
  <c r="AG135" i="7"/>
  <c r="AE135" i="7"/>
  <c r="AC135" i="7"/>
  <c r="AA135" i="7"/>
  <c r="Y135" i="7"/>
  <c r="W135" i="7"/>
  <c r="U135" i="7"/>
  <c r="S135" i="7"/>
  <c r="Q135" i="7"/>
  <c r="O135" i="7"/>
  <c r="M135" i="7"/>
  <c r="K135" i="7"/>
  <c r="I135" i="7"/>
  <c r="G135" i="7"/>
  <c r="E135" i="7"/>
  <c r="AQ134" i="7"/>
  <c r="AO134" i="7"/>
  <c r="AM134" i="7"/>
  <c r="AK134" i="7"/>
  <c r="AI134" i="7"/>
  <c r="AG134" i="7"/>
  <c r="AE134" i="7"/>
  <c r="AC134" i="7"/>
  <c r="AA134" i="7"/>
  <c r="Y134" i="7"/>
  <c r="W134" i="7"/>
  <c r="U134" i="7"/>
  <c r="S134" i="7"/>
  <c r="Q134" i="7"/>
  <c r="O134" i="7"/>
  <c r="M134" i="7"/>
  <c r="K134" i="7"/>
  <c r="I134" i="7"/>
  <c r="G134" i="7"/>
  <c r="E134" i="7"/>
  <c r="AQ133" i="7"/>
  <c r="AO133" i="7"/>
  <c r="AM133" i="7"/>
  <c r="AK133" i="7"/>
  <c r="AI133" i="7"/>
  <c r="AG133" i="7"/>
  <c r="AE133" i="7"/>
  <c r="AC133" i="7"/>
  <c r="AA133" i="7"/>
  <c r="Y133" i="7"/>
  <c r="W133" i="7"/>
  <c r="U133" i="7"/>
  <c r="S133" i="7"/>
  <c r="Q133" i="7"/>
  <c r="O133" i="7"/>
  <c r="M133" i="7"/>
  <c r="K133" i="7"/>
  <c r="I133" i="7"/>
  <c r="G133" i="7"/>
  <c r="E133" i="7"/>
  <c r="AQ132" i="7"/>
  <c r="AO132" i="7"/>
  <c r="AM132" i="7"/>
  <c r="AK132" i="7"/>
  <c r="AI132" i="7"/>
  <c r="AG132" i="7"/>
  <c r="AE132" i="7"/>
  <c r="AC132" i="7"/>
  <c r="AA132" i="7"/>
  <c r="Y132" i="7"/>
  <c r="W132" i="7"/>
  <c r="U132" i="7"/>
  <c r="S132" i="7"/>
  <c r="Q132" i="7"/>
  <c r="O132" i="7"/>
  <c r="M132" i="7"/>
  <c r="K132" i="7"/>
  <c r="I132" i="7"/>
  <c r="G132" i="7"/>
  <c r="E132" i="7"/>
  <c r="AQ131" i="7"/>
  <c r="AO131" i="7"/>
  <c r="AM131" i="7"/>
  <c r="AK131" i="7"/>
  <c r="AI131" i="7"/>
  <c r="AG131" i="7"/>
  <c r="AE131" i="7"/>
  <c r="AC131" i="7"/>
  <c r="AA131" i="7"/>
  <c r="Y131" i="7"/>
  <c r="W131" i="7"/>
  <c r="U131" i="7"/>
  <c r="S131" i="7"/>
  <c r="Q131" i="7"/>
  <c r="O131" i="7"/>
  <c r="M131" i="7"/>
  <c r="K131" i="7"/>
  <c r="I131" i="7"/>
  <c r="G131" i="7"/>
  <c r="E131" i="7"/>
  <c r="AQ130" i="7"/>
  <c r="AO130" i="7"/>
  <c r="AM130" i="7"/>
  <c r="AK130" i="7"/>
  <c r="AI130" i="7"/>
  <c r="AG130" i="7"/>
  <c r="AE130" i="7"/>
  <c r="AC130" i="7"/>
  <c r="AA130" i="7"/>
  <c r="Y130" i="7"/>
  <c r="W130" i="7"/>
  <c r="U130" i="7"/>
  <c r="S130" i="7"/>
  <c r="Q130" i="7"/>
  <c r="O130" i="7"/>
  <c r="M130" i="7"/>
  <c r="K130" i="7"/>
  <c r="I130" i="7"/>
  <c r="G130" i="7"/>
  <c r="E130" i="7"/>
  <c r="AQ129" i="7"/>
  <c r="AO129" i="7"/>
  <c r="AM129" i="7"/>
  <c r="AK129" i="7"/>
  <c r="AI129" i="7"/>
  <c r="AG129" i="7"/>
  <c r="AE129" i="7"/>
  <c r="AC129" i="7"/>
  <c r="AA129" i="7"/>
  <c r="Y129" i="7"/>
  <c r="W129" i="7"/>
  <c r="U129" i="7"/>
  <c r="S129" i="7"/>
  <c r="Q129" i="7"/>
  <c r="O129" i="7"/>
  <c r="M129" i="7"/>
  <c r="K129" i="7"/>
  <c r="I129" i="7"/>
  <c r="G129" i="7"/>
  <c r="E129" i="7"/>
  <c r="AQ128" i="7"/>
  <c r="AO128" i="7"/>
  <c r="AM128" i="7"/>
  <c r="AK128" i="7"/>
  <c r="AI128" i="7"/>
  <c r="AG128" i="7"/>
  <c r="AE128" i="7"/>
  <c r="AC128" i="7"/>
  <c r="AA128" i="7"/>
  <c r="Y128" i="7"/>
  <c r="W128" i="7"/>
  <c r="U128" i="7"/>
  <c r="S128" i="7"/>
  <c r="Q128" i="7"/>
  <c r="O128" i="7"/>
  <c r="M128" i="7"/>
  <c r="K128" i="7"/>
  <c r="I128" i="7"/>
  <c r="G128" i="7"/>
  <c r="E128" i="7"/>
  <c r="AQ127" i="7"/>
  <c r="AO127" i="7"/>
  <c r="AM127" i="7"/>
  <c r="AK127" i="7"/>
  <c r="AI127" i="7"/>
  <c r="AG127" i="7"/>
  <c r="AE127" i="7"/>
  <c r="AC127" i="7"/>
  <c r="AA127" i="7"/>
  <c r="Y127" i="7"/>
  <c r="W127" i="7"/>
  <c r="U127" i="7"/>
  <c r="S127" i="7"/>
  <c r="Q127" i="7"/>
  <c r="O127" i="7"/>
  <c r="M127" i="7"/>
  <c r="K127" i="7"/>
  <c r="I127" i="7"/>
  <c r="G127" i="7"/>
  <c r="E127" i="7"/>
  <c r="AQ126" i="7"/>
  <c r="AO126" i="7"/>
  <c r="AM126" i="7"/>
  <c r="AK126" i="7"/>
  <c r="AI126" i="7"/>
  <c r="AG126" i="7"/>
  <c r="AE126" i="7"/>
  <c r="AC126" i="7"/>
  <c r="AA126" i="7"/>
  <c r="Y126" i="7"/>
  <c r="W126" i="7"/>
  <c r="U126" i="7"/>
  <c r="S126" i="7"/>
  <c r="Q126" i="7"/>
  <c r="O126" i="7"/>
  <c r="M126" i="7"/>
  <c r="K126" i="7"/>
  <c r="I126" i="7"/>
  <c r="G126" i="7"/>
  <c r="E126" i="7"/>
  <c r="AQ125" i="7"/>
  <c r="AO125" i="7"/>
  <c r="AM125" i="7"/>
  <c r="AK125" i="7"/>
  <c r="AI125" i="7"/>
  <c r="AG125" i="7"/>
  <c r="AE125" i="7"/>
  <c r="AC125" i="7"/>
  <c r="AA125" i="7"/>
  <c r="Y125" i="7"/>
  <c r="W125" i="7"/>
  <c r="U125" i="7"/>
  <c r="S125" i="7"/>
  <c r="Q125" i="7"/>
  <c r="O125" i="7"/>
  <c r="M125" i="7"/>
  <c r="K125" i="7"/>
  <c r="I125" i="7"/>
  <c r="G125" i="7"/>
  <c r="E125" i="7"/>
  <c r="AQ124" i="7"/>
  <c r="AO124" i="7"/>
  <c r="AM124" i="7"/>
  <c r="AK124" i="7"/>
  <c r="AI124" i="7"/>
  <c r="AG124" i="7"/>
  <c r="AE124" i="7"/>
  <c r="AC124" i="7"/>
  <c r="AA124" i="7"/>
  <c r="Y124" i="7"/>
  <c r="W124" i="7"/>
  <c r="U124" i="7"/>
  <c r="S124" i="7"/>
  <c r="Q124" i="7"/>
  <c r="O124" i="7"/>
  <c r="M124" i="7"/>
  <c r="K124" i="7"/>
  <c r="I124" i="7"/>
  <c r="G124" i="7"/>
  <c r="E124" i="7"/>
  <c r="AQ123" i="7"/>
  <c r="AO123" i="7"/>
  <c r="AM123" i="7"/>
  <c r="AK123" i="7"/>
  <c r="AI123" i="7"/>
  <c r="AG123" i="7"/>
  <c r="AE123" i="7"/>
  <c r="AC123" i="7"/>
  <c r="AA123" i="7"/>
  <c r="Y123" i="7"/>
  <c r="W123" i="7"/>
  <c r="U123" i="7"/>
  <c r="S123" i="7"/>
  <c r="Q123" i="7"/>
  <c r="O123" i="7"/>
  <c r="M123" i="7"/>
  <c r="K123" i="7"/>
  <c r="I123" i="7"/>
  <c r="G123" i="7"/>
  <c r="E123" i="7"/>
  <c r="AQ122" i="7"/>
  <c r="AO122" i="7"/>
  <c r="AM122" i="7"/>
  <c r="AK122" i="7"/>
  <c r="AI122" i="7"/>
  <c r="AG122" i="7"/>
  <c r="AE122" i="7"/>
  <c r="AC122" i="7"/>
  <c r="AA122" i="7"/>
  <c r="Y122" i="7"/>
  <c r="W122" i="7"/>
  <c r="U122" i="7"/>
  <c r="S122" i="7"/>
  <c r="Q122" i="7"/>
  <c r="O122" i="7"/>
  <c r="M122" i="7"/>
  <c r="K122" i="7"/>
  <c r="I122" i="7"/>
  <c r="G122" i="7"/>
  <c r="E122" i="7"/>
  <c r="AQ121" i="7"/>
  <c r="AO121" i="7"/>
  <c r="AM121" i="7"/>
  <c r="AK121" i="7"/>
  <c r="AI121" i="7"/>
  <c r="AG121" i="7"/>
  <c r="AE121" i="7"/>
  <c r="AC121" i="7"/>
  <c r="AA121" i="7"/>
  <c r="Y121" i="7"/>
  <c r="W121" i="7"/>
  <c r="U121" i="7"/>
  <c r="S121" i="7"/>
  <c r="Q121" i="7"/>
  <c r="O121" i="7"/>
  <c r="M121" i="7"/>
  <c r="K121" i="7"/>
  <c r="I121" i="7"/>
  <c r="G121" i="7"/>
  <c r="E121" i="7"/>
  <c r="AQ120" i="7"/>
  <c r="AO120" i="7"/>
  <c r="AM120" i="7"/>
  <c r="AK120" i="7"/>
  <c r="AI120" i="7"/>
  <c r="AG120" i="7"/>
  <c r="AE120" i="7"/>
  <c r="AC120" i="7"/>
  <c r="AA120" i="7"/>
  <c r="Y120" i="7"/>
  <c r="W120" i="7"/>
  <c r="U120" i="7"/>
  <c r="S120" i="7"/>
  <c r="Q120" i="7"/>
  <c r="O120" i="7"/>
  <c r="M120" i="7"/>
  <c r="K120" i="7"/>
  <c r="I120" i="7"/>
  <c r="G120" i="7"/>
  <c r="E120" i="7"/>
  <c r="AQ119" i="7"/>
  <c r="AO119" i="7"/>
  <c r="AM119" i="7"/>
  <c r="AK119" i="7"/>
  <c r="AI119" i="7"/>
  <c r="AG119" i="7"/>
  <c r="AE119" i="7"/>
  <c r="AC119" i="7"/>
  <c r="AA119" i="7"/>
  <c r="Y119" i="7"/>
  <c r="W119" i="7"/>
  <c r="U119" i="7"/>
  <c r="S119" i="7"/>
  <c r="Q119" i="7"/>
  <c r="O119" i="7"/>
  <c r="M119" i="7"/>
  <c r="K119" i="7"/>
  <c r="I119" i="7"/>
  <c r="G119" i="7"/>
  <c r="E119" i="7"/>
  <c r="AQ118" i="7"/>
  <c r="AO118" i="7"/>
  <c r="AM118" i="7"/>
  <c r="AK118" i="7"/>
  <c r="AI118" i="7"/>
  <c r="AG118" i="7"/>
  <c r="AE118" i="7"/>
  <c r="AC118" i="7"/>
  <c r="AA118" i="7"/>
  <c r="Y118" i="7"/>
  <c r="W118" i="7"/>
  <c r="U118" i="7"/>
  <c r="S118" i="7"/>
  <c r="Q118" i="7"/>
  <c r="O118" i="7"/>
  <c r="M118" i="7"/>
  <c r="K118" i="7"/>
  <c r="I118" i="7"/>
  <c r="G118" i="7"/>
  <c r="E118" i="7"/>
  <c r="AQ117" i="7"/>
  <c r="AO117" i="7"/>
  <c r="AM117" i="7"/>
  <c r="AK117" i="7"/>
  <c r="AI117" i="7"/>
  <c r="AG117" i="7"/>
  <c r="AE117" i="7"/>
  <c r="AC117" i="7"/>
  <c r="AA117" i="7"/>
  <c r="Y117" i="7"/>
  <c r="W117" i="7"/>
  <c r="U117" i="7"/>
  <c r="S117" i="7"/>
  <c r="Q117" i="7"/>
  <c r="O117" i="7"/>
  <c r="M117" i="7"/>
  <c r="K117" i="7"/>
  <c r="I117" i="7"/>
  <c r="G117" i="7"/>
  <c r="E117" i="7"/>
  <c r="AQ116" i="7"/>
  <c r="AO116" i="7"/>
  <c r="AM116" i="7"/>
  <c r="AK116" i="7"/>
  <c r="AI116" i="7"/>
  <c r="AG116" i="7"/>
  <c r="AE116" i="7"/>
  <c r="AC116" i="7"/>
  <c r="AA116" i="7"/>
  <c r="Y116" i="7"/>
  <c r="W116" i="7"/>
  <c r="U116" i="7"/>
  <c r="S116" i="7"/>
  <c r="Q116" i="7"/>
  <c r="O116" i="7"/>
  <c r="M116" i="7"/>
  <c r="K116" i="7"/>
  <c r="I116" i="7"/>
  <c r="G116" i="7"/>
  <c r="E116" i="7"/>
  <c r="AQ115" i="7"/>
  <c r="AO115" i="7"/>
  <c r="AM115" i="7"/>
  <c r="AK115" i="7"/>
  <c r="AI115" i="7"/>
  <c r="AG115" i="7"/>
  <c r="AE115" i="7"/>
  <c r="AC115" i="7"/>
  <c r="AA115" i="7"/>
  <c r="Y115" i="7"/>
  <c r="W115" i="7"/>
  <c r="U115" i="7"/>
  <c r="S115" i="7"/>
  <c r="Q115" i="7"/>
  <c r="O115" i="7"/>
  <c r="M115" i="7"/>
  <c r="K115" i="7"/>
  <c r="I115" i="7"/>
  <c r="G115" i="7"/>
  <c r="E115" i="7"/>
  <c r="AQ114" i="7"/>
  <c r="AO114" i="7"/>
  <c r="AM114" i="7"/>
  <c r="AK114" i="7"/>
  <c r="AI114" i="7"/>
  <c r="AG114" i="7"/>
  <c r="AE114" i="7"/>
  <c r="AC114" i="7"/>
  <c r="AA114" i="7"/>
  <c r="Y114" i="7"/>
  <c r="W114" i="7"/>
  <c r="U114" i="7"/>
  <c r="S114" i="7"/>
  <c r="Q114" i="7"/>
  <c r="O114" i="7"/>
  <c r="M114" i="7"/>
  <c r="K114" i="7"/>
  <c r="I114" i="7"/>
  <c r="G114" i="7"/>
  <c r="E114" i="7"/>
  <c r="AQ113" i="7"/>
  <c r="AO113" i="7"/>
  <c r="AM113" i="7"/>
  <c r="AK113" i="7"/>
  <c r="AI113" i="7"/>
  <c r="AG113" i="7"/>
  <c r="AE113" i="7"/>
  <c r="AC113" i="7"/>
  <c r="AA113" i="7"/>
  <c r="Y113" i="7"/>
  <c r="W113" i="7"/>
  <c r="U113" i="7"/>
  <c r="S113" i="7"/>
  <c r="Q113" i="7"/>
  <c r="O113" i="7"/>
  <c r="M113" i="7"/>
  <c r="K113" i="7"/>
  <c r="I113" i="7"/>
  <c r="G113" i="7"/>
  <c r="E113" i="7"/>
  <c r="AQ112" i="7"/>
  <c r="AO112" i="7"/>
  <c r="AM112" i="7"/>
  <c r="AK112" i="7"/>
  <c r="AI112" i="7"/>
  <c r="AG112" i="7"/>
  <c r="AE112" i="7"/>
  <c r="AC112" i="7"/>
  <c r="AA112" i="7"/>
  <c r="Y112" i="7"/>
  <c r="W112" i="7"/>
  <c r="U112" i="7"/>
  <c r="S112" i="7"/>
  <c r="Q112" i="7"/>
  <c r="O112" i="7"/>
  <c r="M112" i="7"/>
  <c r="K112" i="7"/>
  <c r="I112" i="7"/>
  <c r="G112" i="7"/>
  <c r="E112" i="7"/>
  <c r="AQ111" i="7"/>
  <c r="AO111" i="7"/>
  <c r="AM111" i="7"/>
  <c r="AK111" i="7"/>
  <c r="AI111" i="7"/>
  <c r="AG111" i="7"/>
  <c r="AE111" i="7"/>
  <c r="AC111" i="7"/>
  <c r="AA111" i="7"/>
  <c r="Y111" i="7"/>
  <c r="W111" i="7"/>
  <c r="U111" i="7"/>
  <c r="S111" i="7"/>
  <c r="Q111" i="7"/>
  <c r="O111" i="7"/>
  <c r="M111" i="7"/>
  <c r="K111" i="7"/>
  <c r="I111" i="7"/>
  <c r="G111" i="7"/>
  <c r="E111" i="7"/>
  <c r="AQ110" i="7"/>
  <c r="AO110" i="7"/>
  <c r="AM110" i="7"/>
  <c r="AK110" i="7"/>
  <c r="AI110" i="7"/>
  <c r="AG110" i="7"/>
  <c r="AE110" i="7"/>
  <c r="AC110" i="7"/>
  <c r="AA110" i="7"/>
  <c r="Y110" i="7"/>
  <c r="W110" i="7"/>
  <c r="U110" i="7"/>
  <c r="S110" i="7"/>
  <c r="Q110" i="7"/>
  <c r="O110" i="7"/>
  <c r="M110" i="7"/>
  <c r="K110" i="7"/>
  <c r="I110" i="7"/>
  <c r="G110" i="7"/>
  <c r="E110" i="7"/>
  <c r="AQ109" i="7"/>
  <c r="AO109" i="7"/>
  <c r="AM109" i="7"/>
  <c r="AK109" i="7"/>
  <c r="AI109" i="7"/>
  <c r="AG109" i="7"/>
  <c r="AE109" i="7"/>
  <c r="AC109" i="7"/>
  <c r="AA109" i="7"/>
  <c r="Y109" i="7"/>
  <c r="W109" i="7"/>
  <c r="U109" i="7"/>
  <c r="S109" i="7"/>
  <c r="Q109" i="7"/>
  <c r="O109" i="7"/>
  <c r="M109" i="7"/>
  <c r="K109" i="7"/>
  <c r="I109" i="7"/>
  <c r="G109" i="7"/>
  <c r="E109" i="7"/>
  <c r="AQ108" i="7"/>
  <c r="AO108" i="7"/>
  <c r="AM108" i="7"/>
  <c r="AK108" i="7"/>
  <c r="AI108" i="7"/>
  <c r="AG108" i="7"/>
  <c r="AE108" i="7"/>
  <c r="AC108" i="7"/>
  <c r="AA108" i="7"/>
  <c r="Y108" i="7"/>
  <c r="W108" i="7"/>
  <c r="U108" i="7"/>
  <c r="S108" i="7"/>
  <c r="Q108" i="7"/>
  <c r="O108" i="7"/>
  <c r="M108" i="7"/>
  <c r="K108" i="7"/>
  <c r="I108" i="7"/>
  <c r="G108" i="7"/>
  <c r="E108" i="7"/>
  <c r="AQ107" i="7"/>
  <c r="AO107" i="7"/>
  <c r="AM107" i="7"/>
  <c r="AK107" i="7"/>
  <c r="AI107" i="7"/>
  <c r="AG107" i="7"/>
  <c r="AE107" i="7"/>
  <c r="AC107" i="7"/>
  <c r="AA107" i="7"/>
  <c r="Y107" i="7"/>
  <c r="W107" i="7"/>
  <c r="U107" i="7"/>
  <c r="S107" i="7"/>
  <c r="Q107" i="7"/>
  <c r="O107" i="7"/>
  <c r="M107" i="7"/>
  <c r="K107" i="7"/>
  <c r="I107" i="7"/>
  <c r="G107" i="7"/>
  <c r="E107" i="7"/>
  <c r="AQ106" i="7"/>
  <c r="AO106" i="7"/>
  <c r="AM106" i="7"/>
  <c r="AK106" i="7"/>
  <c r="AI106" i="7"/>
  <c r="AG106" i="7"/>
  <c r="AE106" i="7"/>
  <c r="AC106" i="7"/>
  <c r="AA106" i="7"/>
  <c r="Y106" i="7"/>
  <c r="W106" i="7"/>
  <c r="U106" i="7"/>
  <c r="S106" i="7"/>
  <c r="Q106" i="7"/>
  <c r="O106" i="7"/>
  <c r="M106" i="7"/>
  <c r="K106" i="7"/>
  <c r="I106" i="7"/>
  <c r="G106" i="7"/>
  <c r="E106" i="7"/>
  <c r="AQ105" i="7"/>
  <c r="AO105" i="7"/>
  <c r="AM105" i="7"/>
  <c r="AK105" i="7"/>
  <c r="AI105" i="7"/>
  <c r="AG105" i="7"/>
  <c r="AE105" i="7"/>
  <c r="AC105" i="7"/>
  <c r="AA105" i="7"/>
  <c r="Y105" i="7"/>
  <c r="W105" i="7"/>
  <c r="U105" i="7"/>
  <c r="S105" i="7"/>
  <c r="Q105" i="7"/>
  <c r="O105" i="7"/>
  <c r="M105" i="7"/>
  <c r="K105" i="7"/>
  <c r="I105" i="7"/>
  <c r="G105" i="7"/>
  <c r="E105" i="7"/>
  <c r="AQ104" i="7"/>
  <c r="AO104" i="7"/>
  <c r="AM104" i="7"/>
  <c r="AK104" i="7"/>
  <c r="AI104" i="7"/>
  <c r="AG104" i="7"/>
  <c r="AE104" i="7"/>
  <c r="AC104" i="7"/>
  <c r="AA104" i="7"/>
  <c r="Y104" i="7"/>
  <c r="W104" i="7"/>
  <c r="U104" i="7"/>
  <c r="S104" i="7"/>
  <c r="Q104" i="7"/>
  <c r="O104" i="7"/>
  <c r="M104" i="7"/>
  <c r="K104" i="7"/>
  <c r="I104" i="7"/>
  <c r="G104" i="7"/>
  <c r="E104" i="7"/>
  <c r="AQ103" i="7"/>
  <c r="AO103" i="7"/>
  <c r="AM103" i="7"/>
  <c r="AK103" i="7"/>
  <c r="AI103" i="7"/>
  <c r="AG103" i="7"/>
  <c r="AE103" i="7"/>
  <c r="AC103" i="7"/>
  <c r="AA103" i="7"/>
  <c r="Y103" i="7"/>
  <c r="W103" i="7"/>
  <c r="U103" i="7"/>
  <c r="S103" i="7"/>
  <c r="Q103" i="7"/>
  <c r="O103" i="7"/>
  <c r="M103" i="7"/>
  <c r="K103" i="7"/>
  <c r="I103" i="7"/>
  <c r="G103" i="7"/>
  <c r="E103" i="7"/>
  <c r="AQ102" i="7"/>
  <c r="AO102" i="7"/>
  <c r="AM102" i="7"/>
  <c r="AK102" i="7"/>
  <c r="AI102" i="7"/>
  <c r="AG102" i="7"/>
  <c r="AE102" i="7"/>
  <c r="AC102" i="7"/>
  <c r="AA102" i="7"/>
  <c r="Y102" i="7"/>
  <c r="W102" i="7"/>
  <c r="U102" i="7"/>
  <c r="S102" i="7"/>
  <c r="Q102" i="7"/>
  <c r="O102" i="7"/>
  <c r="M102" i="7"/>
  <c r="K102" i="7"/>
  <c r="I102" i="7"/>
  <c r="G102" i="7"/>
  <c r="E102" i="7"/>
  <c r="AQ101" i="7"/>
  <c r="AO101" i="7"/>
  <c r="AM101" i="7"/>
  <c r="AK101" i="7"/>
  <c r="AI101" i="7"/>
  <c r="AG101" i="7"/>
  <c r="AE101" i="7"/>
  <c r="AC101" i="7"/>
  <c r="AA101" i="7"/>
  <c r="Y101" i="7"/>
  <c r="W101" i="7"/>
  <c r="U101" i="7"/>
  <c r="S101" i="7"/>
  <c r="Q101" i="7"/>
  <c r="O101" i="7"/>
  <c r="M101" i="7"/>
  <c r="K101" i="7"/>
  <c r="I101" i="7"/>
  <c r="G101" i="7"/>
  <c r="E101" i="7"/>
  <c r="AQ100" i="7"/>
  <c r="AO100" i="7"/>
  <c r="AM100" i="7"/>
  <c r="AK100" i="7"/>
  <c r="AI100" i="7"/>
  <c r="AG100" i="7"/>
  <c r="AE100" i="7"/>
  <c r="AC100" i="7"/>
  <c r="AA100" i="7"/>
  <c r="Y100" i="7"/>
  <c r="W100" i="7"/>
  <c r="U100" i="7"/>
  <c r="S100" i="7"/>
  <c r="Q100" i="7"/>
  <c r="O100" i="7"/>
  <c r="M100" i="7"/>
  <c r="K100" i="7"/>
  <c r="I100" i="7"/>
  <c r="G100" i="7"/>
  <c r="E100" i="7"/>
  <c r="AQ99" i="7"/>
  <c r="AO99" i="7"/>
  <c r="AM99" i="7"/>
  <c r="AK99" i="7"/>
  <c r="AI99" i="7"/>
  <c r="AG99" i="7"/>
  <c r="AE99" i="7"/>
  <c r="AC99" i="7"/>
  <c r="AA99" i="7"/>
  <c r="Y99" i="7"/>
  <c r="W99" i="7"/>
  <c r="U99" i="7"/>
  <c r="S99" i="7"/>
  <c r="Q99" i="7"/>
  <c r="O99" i="7"/>
  <c r="M99" i="7"/>
  <c r="K99" i="7"/>
  <c r="I99" i="7"/>
  <c r="G99" i="7"/>
  <c r="E99" i="7"/>
  <c r="AQ98" i="7"/>
  <c r="AO98" i="7"/>
  <c r="AM98" i="7"/>
  <c r="AK98" i="7"/>
  <c r="AI98" i="7"/>
  <c r="AG98" i="7"/>
  <c r="AE98" i="7"/>
  <c r="AC98" i="7"/>
  <c r="AA98" i="7"/>
  <c r="Y98" i="7"/>
  <c r="W98" i="7"/>
  <c r="U98" i="7"/>
  <c r="S98" i="7"/>
  <c r="Q98" i="7"/>
  <c r="O98" i="7"/>
  <c r="M98" i="7"/>
  <c r="K98" i="7"/>
  <c r="I98" i="7"/>
  <c r="G98" i="7"/>
  <c r="E98" i="7"/>
  <c r="AQ97" i="7"/>
  <c r="AO97" i="7"/>
  <c r="AM97" i="7"/>
  <c r="AK97" i="7"/>
  <c r="AI97" i="7"/>
  <c r="AG97" i="7"/>
  <c r="AE97" i="7"/>
  <c r="AC97" i="7"/>
  <c r="AA97" i="7"/>
  <c r="Y97" i="7"/>
  <c r="W97" i="7"/>
  <c r="U97" i="7"/>
  <c r="S97" i="7"/>
  <c r="Q97" i="7"/>
  <c r="O97" i="7"/>
  <c r="M97" i="7"/>
  <c r="K97" i="7"/>
  <c r="I97" i="7"/>
  <c r="G97" i="7"/>
  <c r="E97" i="7"/>
  <c r="AQ96" i="7"/>
  <c r="AO96" i="7"/>
  <c r="AM96" i="7"/>
  <c r="AK96" i="7"/>
  <c r="AI96" i="7"/>
  <c r="AG96" i="7"/>
  <c r="AE96" i="7"/>
  <c r="AC96" i="7"/>
  <c r="AA96" i="7"/>
  <c r="Y96" i="7"/>
  <c r="W96" i="7"/>
  <c r="U96" i="7"/>
  <c r="S96" i="7"/>
  <c r="Q96" i="7"/>
  <c r="O96" i="7"/>
  <c r="M96" i="7"/>
  <c r="K96" i="7"/>
  <c r="I96" i="7"/>
  <c r="G96" i="7"/>
  <c r="E96" i="7"/>
  <c r="AQ95" i="7"/>
  <c r="AO95" i="7"/>
  <c r="AM95" i="7"/>
  <c r="AK95" i="7"/>
  <c r="AI95" i="7"/>
  <c r="AG95" i="7"/>
  <c r="AE95" i="7"/>
  <c r="AC95" i="7"/>
  <c r="AA95" i="7"/>
  <c r="Y95" i="7"/>
  <c r="W95" i="7"/>
  <c r="U95" i="7"/>
  <c r="S95" i="7"/>
  <c r="Q95" i="7"/>
  <c r="O95" i="7"/>
  <c r="M95" i="7"/>
  <c r="K95" i="7"/>
  <c r="I95" i="7"/>
  <c r="G95" i="7"/>
  <c r="E95" i="7"/>
  <c r="AQ94" i="7"/>
  <c r="AO94" i="7"/>
  <c r="AM94" i="7"/>
  <c r="AK94" i="7"/>
  <c r="AI94" i="7"/>
  <c r="AG94" i="7"/>
  <c r="AE94" i="7"/>
  <c r="AC94" i="7"/>
  <c r="AA94" i="7"/>
  <c r="Y94" i="7"/>
  <c r="W94" i="7"/>
  <c r="U94" i="7"/>
  <c r="S94" i="7"/>
  <c r="Q94" i="7"/>
  <c r="O94" i="7"/>
  <c r="M94" i="7"/>
  <c r="K94" i="7"/>
  <c r="I94" i="7"/>
  <c r="G94" i="7"/>
  <c r="E94" i="7"/>
  <c r="AQ93" i="7"/>
  <c r="AO93" i="7"/>
  <c r="AM93" i="7"/>
  <c r="AK93" i="7"/>
  <c r="AI93" i="7"/>
  <c r="AG93" i="7"/>
  <c r="AE93" i="7"/>
  <c r="AC93" i="7"/>
  <c r="AA93" i="7"/>
  <c r="Y93" i="7"/>
  <c r="W93" i="7"/>
  <c r="U93" i="7"/>
  <c r="S93" i="7"/>
  <c r="Q93" i="7"/>
  <c r="O93" i="7"/>
  <c r="M93" i="7"/>
  <c r="K93" i="7"/>
  <c r="I93" i="7"/>
  <c r="G93" i="7"/>
  <c r="E93" i="7"/>
  <c r="AQ92" i="7"/>
  <c r="AO92" i="7"/>
  <c r="AM92" i="7"/>
  <c r="AK92" i="7"/>
  <c r="AI92" i="7"/>
  <c r="AG92" i="7"/>
  <c r="AE92" i="7"/>
  <c r="AC92" i="7"/>
  <c r="AA92" i="7"/>
  <c r="Y92" i="7"/>
  <c r="W92" i="7"/>
  <c r="U92" i="7"/>
  <c r="S92" i="7"/>
  <c r="Q92" i="7"/>
  <c r="O92" i="7"/>
  <c r="M92" i="7"/>
  <c r="K92" i="7"/>
  <c r="I92" i="7"/>
  <c r="G92" i="7"/>
  <c r="E92" i="7"/>
  <c r="AQ91" i="7"/>
  <c r="AO91" i="7"/>
  <c r="AM91" i="7"/>
  <c r="AK91" i="7"/>
  <c r="AI91" i="7"/>
  <c r="AG91" i="7"/>
  <c r="AE91" i="7"/>
  <c r="AC91" i="7"/>
  <c r="AA91" i="7"/>
  <c r="Y91" i="7"/>
  <c r="W91" i="7"/>
  <c r="U91" i="7"/>
  <c r="S91" i="7"/>
  <c r="Q91" i="7"/>
  <c r="O91" i="7"/>
  <c r="M91" i="7"/>
  <c r="K91" i="7"/>
  <c r="I91" i="7"/>
  <c r="G91" i="7"/>
  <c r="E91" i="7"/>
  <c r="AQ90" i="7"/>
  <c r="AO90" i="7"/>
  <c r="AM90" i="7"/>
  <c r="AK90" i="7"/>
  <c r="AI90" i="7"/>
  <c r="AG90" i="7"/>
  <c r="AE90" i="7"/>
  <c r="AC90" i="7"/>
  <c r="AA90" i="7"/>
  <c r="Y90" i="7"/>
  <c r="W90" i="7"/>
  <c r="U90" i="7"/>
  <c r="S90" i="7"/>
  <c r="Q90" i="7"/>
  <c r="O90" i="7"/>
  <c r="M90" i="7"/>
  <c r="K90" i="7"/>
  <c r="I90" i="7"/>
  <c r="G90" i="7"/>
  <c r="E90" i="7"/>
  <c r="AQ89" i="7"/>
  <c r="AO89" i="7"/>
  <c r="AM89" i="7"/>
  <c r="AK89" i="7"/>
  <c r="AI89" i="7"/>
  <c r="AG89" i="7"/>
  <c r="AE89" i="7"/>
  <c r="AC89" i="7"/>
  <c r="AA89" i="7"/>
  <c r="Y89" i="7"/>
  <c r="W89" i="7"/>
  <c r="U89" i="7"/>
  <c r="S89" i="7"/>
  <c r="Q89" i="7"/>
  <c r="O89" i="7"/>
  <c r="M89" i="7"/>
  <c r="K89" i="7"/>
  <c r="I89" i="7"/>
  <c r="G89" i="7"/>
  <c r="E89" i="7"/>
  <c r="AQ88" i="7"/>
  <c r="AO88" i="7"/>
  <c r="AM88" i="7"/>
  <c r="AK88" i="7"/>
  <c r="AI88" i="7"/>
  <c r="AG88" i="7"/>
  <c r="AE88" i="7"/>
  <c r="AC88" i="7"/>
  <c r="AA88" i="7"/>
  <c r="Y88" i="7"/>
  <c r="W88" i="7"/>
  <c r="U88" i="7"/>
  <c r="S88" i="7"/>
  <c r="Q88" i="7"/>
  <c r="O88" i="7"/>
  <c r="M88" i="7"/>
  <c r="K88" i="7"/>
  <c r="I88" i="7"/>
  <c r="G88" i="7"/>
  <c r="E88" i="7"/>
  <c r="AQ87" i="7"/>
  <c r="AO87" i="7"/>
  <c r="AM87" i="7"/>
  <c r="AK87" i="7"/>
  <c r="AI87" i="7"/>
  <c r="AG87" i="7"/>
  <c r="AE87" i="7"/>
  <c r="AC87" i="7"/>
  <c r="AA87" i="7"/>
  <c r="Y87" i="7"/>
  <c r="W87" i="7"/>
  <c r="U87" i="7"/>
  <c r="S87" i="7"/>
  <c r="Q87" i="7"/>
  <c r="O87" i="7"/>
  <c r="M87" i="7"/>
  <c r="K87" i="7"/>
  <c r="I87" i="7"/>
  <c r="G87" i="7"/>
  <c r="E87" i="7"/>
  <c r="AQ86" i="7"/>
  <c r="AO86" i="7"/>
  <c r="AM86" i="7"/>
  <c r="AK86" i="7"/>
  <c r="AI86" i="7"/>
  <c r="AG86" i="7"/>
  <c r="AE86" i="7"/>
  <c r="AC86" i="7"/>
  <c r="AA86" i="7"/>
  <c r="Y86" i="7"/>
  <c r="W86" i="7"/>
  <c r="U86" i="7"/>
  <c r="S86" i="7"/>
  <c r="Q86" i="7"/>
  <c r="O86" i="7"/>
  <c r="M86" i="7"/>
  <c r="K86" i="7"/>
  <c r="I86" i="7"/>
  <c r="G86" i="7"/>
  <c r="E86" i="7"/>
  <c r="AQ85" i="7"/>
  <c r="AO85" i="7"/>
  <c r="AM85" i="7"/>
  <c r="AK85" i="7"/>
  <c r="AI85" i="7"/>
  <c r="AG85" i="7"/>
  <c r="AE85" i="7"/>
  <c r="AC85" i="7"/>
  <c r="AA85" i="7"/>
  <c r="Y85" i="7"/>
  <c r="W85" i="7"/>
  <c r="U85" i="7"/>
  <c r="S85" i="7"/>
  <c r="Q85" i="7"/>
  <c r="O85" i="7"/>
  <c r="M85" i="7"/>
  <c r="K85" i="7"/>
  <c r="I85" i="7"/>
  <c r="G85" i="7"/>
  <c r="E85" i="7"/>
  <c r="AQ84" i="7"/>
  <c r="AO84" i="7"/>
  <c r="AM84" i="7"/>
  <c r="AK84" i="7"/>
  <c r="AI84" i="7"/>
  <c r="AG84" i="7"/>
  <c r="AE84" i="7"/>
  <c r="AC84" i="7"/>
  <c r="AA84" i="7"/>
  <c r="Y84" i="7"/>
  <c r="W84" i="7"/>
  <c r="U84" i="7"/>
  <c r="S84" i="7"/>
  <c r="Q84" i="7"/>
  <c r="O84" i="7"/>
  <c r="M84" i="7"/>
  <c r="K84" i="7"/>
  <c r="I84" i="7"/>
  <c r="G84" i="7"/>
  <c r="E84" i="7"/>
  <c r="AQ83" i="7"/>
  <c r="AO83" i="7"/>
  <c r="AM83" i="7"/>
  <c r="AK83" i="7"/>
  <c r="AI83" i="7"/>
  <c r="AG83" i="7"/>
  <c r="AE83" i="7"/>
  <c r="AC83" i="7"/>
  <c r="AA83" i="7"/>
  <c r="Y83" i="7"/>
  <c r="W83" i="7"/>
  <c r="U83" i="7"/>
  <c r="S83" i="7"/>
  <c r="Q83" i="7"/>
  <c r="O83" i="7"/>
  <c r="M83" i="7"/>
  <c r="K83" i="7"/>
  <c r="I83" i="7"/>
  <c r="G83" i="7"/>
  <c r="E83" i="7"/>
  <c r="AQ82" i="7"/>
  <c r="AO82" i="7"/>
  <c r="AM82" i="7"/>
  <c r="AK82" i="7"/>
  <c r="AI82" i="7"/>
  <c r="AG82" i="7"/>
  <c r="AE82" i="7"/>
  <c r="AC82" i="7"/>
  <c r="AA82" i="7"/>
  <c r="Y82" i="7"/>
  <c r="W82" i="7"/>
  <c r="U82" i="7"/>
  <c r="S82" i="7"/>
  <c r="Q82" i="7"/>
  <c r="O82" i="7"/>
  <c r="M82" i="7"/>
  <c r="K82" i="7"/>
  <c r="I82" i="7"/>
  <c r="G82" i="7"/>
  <c r="E82" i="7"/>
  <c r="AQ81" i="7"/>
  <c r="AO81" i="7"/>
  <c r="AM81" i="7"/>
  <c r="AK81" i="7"/>
  <c r="AI81" i="7"/>
  <c r="AG81" i="7"/>
  <c r="AE81" i="7"/>
  <c r="AC81" i="7"/>
  <c r="AA81" i="7"/>
  <c r="Y81" i="7"/>
  <c r="W81" i="7"/>
  <c r="U81" i="7"/>
  <c r="S81" i="7"/>
  <c r="Q81" i="7"/>
  <c r="O81" i="7"/>
  <c r="M81" i="7"/>
  <c r="K81" i="7"/>
  <c r="I81" i="7"/>
  <c r="G81" i="7"/>
  <c r="E81" i="7"/>
  <c r="AQ80" i="7"/>
  <c r="AO80" i="7"/>
  <c r="AM80" i="7"/>
  <c r="AK80" i="7"/>
  <c r="AI80" i="7"/>
  <c r="AG80" i="7"/>
  <c r="AE80" i="7"/>
  <c r="AC80" i="7"/>
  <c r="AA80" i="7"/>
  <c r="Y80" i="7"/>
  <c r="W80" i="7"/>
  <c r="U80" i="7"/>
  <c r="S80" i="7"/>
  <c r="Q80" i="7"/>
  <c r="O80" i="7"/>
  <c r="M80" i="7"/>
  <c r="K80" i="7"/>
  <c r="I80" i="7"/>
  <c r="G80" i="7"/>
  <c r="E80" i="7"/>
  <c r="AQ79" i="7"/>
  <c r="AO79" i="7"/>
  <c r="AM79" i="7"/>
  <c r="AK79" i="7"/>
  <c r="AI79" i="7"/>
  <c r="AG79" i="7"/>
  <c r="AE79" i="7"/>
  <c r="AC79" i="7"/>
  <c r="AA79" i="7"/>
  <c r="Y79" i="7"/>
  <c r="W79" i="7"/>
  <c r="U79" i="7"/>
  <c r="S79" i="7"/>
  <c r="Q79" i="7"/>
  <c r="O79" i="7"/>
  <c r="M79" i="7"/>
  <c r="K79" i="7"/>
  <c r="I79" i="7"/>
  <c r="G79" i="7"/>
  <c r="E79" i="7"/>
  <c r="AQ78" i="7"/>
  <c r="AO78" i="7"/>
  <c r="AM78" i="7"/>
  <c r="AK78" i="7"/>
  <c r="AI78" i="7"/>
  <c r="AG78" i="7"/>
  <c r="AE78" i="7"/>
  <c r="AC78" i="7"/>
  <c r="AA78" i="7"/>
  <c r="Y78" i="7"/>
  <c r="W78" i="7"/>
  <c r="U78" i="7"/>
  <c r="S78" i="7"/>
  <c r="Q78" i="7"/>
  <c r="O78" i="7"/>
  <c r="M78" i="7"/>
  <c r="K78" i="7"/>
  <c r="I78" i="7"/>
  <c r="G78" i="7"/>
  <c r="E78" i="7"/>
  <c r="AQ77" i="7"/>
  <c r="AO77" i="7"/>
  <c r="AM77" i="7"/>
  <c r="AK77" i="7"/>
  <c r="AI77" i="7"/>
  <c r="AG77" i="7"/>
  <c r="AE77" i="7"/>
  <c r="AC77" i="7"/>
  <c r="AA77" i="7"/>
  <c r="Y77" i="7"/>
  <c r="W77" i="7"/>
  <c r="U77" i="7"/>
  <c r="S77" i="7"/>
  <c r="Q77" i="7"/>
  <c r="O77" i="7"/>
  <c r="M77" i="7"/>
  <c r="K77" i="7"/>
  <c r="I77" i="7"/>
  <c r="G77" i="7"/>
  <c r="E77" i="7"/>
  <c r="AQ76" i="7"/>
  <c r="AO76" i="7"/>
  <c r="AM76" i="7"/>
  <c r="AK76" i="7"/>
  <c r="AI76" i="7"/>
  <c r="AG76" i="7"/>
  <c r="AE76" i="7"/>
  <c r="AC76" i="7"/>
  <c r="AA76" i="7"/>
  <c r="Y76" i="7"/>
  <c r="W76" i="7"/>
  <c r="U76" i="7"/>
  <c r="S76" i="7"/>
  <c r="Q76" i="7"/>
  <c r="O76" i="7"/>
  <c r="M76" i="7"/>
  <c r="K76" i="7"/>
  <c r="I76" i="7"/>
  <c r="G76" i="7"/>
  <c r="E76" i="7"/>
  <c r="AQ75" i="7"/>
  <c r="AO75" i="7"/>
  <c r="AM75" i="7"/>
  <c r="AK75" i="7"/>
  <c r="AI75" i="7"/>
  <c r="AG75" i="7"/>
  <c r="AE75" i="7"/>
  <c r="AC75" i="7"/>
  <c r="AA75" i="7"/>
  <c r="Y75" i="7"/>
  <c r="W75" i="7"/>
  <c r="U75" i="7"/>
  <c r="S75" i="7"/>
  <c r="Q75" i="7"/>
  <c r="O75" i="7"/>
  <c r="M75" i="7"/>
  <c r="K75" i="7"/>
  <c r="I75" i="7"/>
  <c r="G75" i="7"/>
  <c r="E75" i="7"/>
  <c r="AQ74" i="7"/>
  <c r="AO74" i="7"/>
  <c r="AM74" i="7"/>
  <c r="AK74" i="7"/>
  <c r="AI74" i="7"/>
  <c r="AG74" i="7"/>
  <c r="AE74" i="7"/>
  <c r="AC74" i="7"/>
  <c r="AA74" i="7"/>
  <c r="Y74" i="7"/>
  <c r="W74" i="7"/>
  <c r="U74" i="7"/>
  <c r="S74" i="7"/>
  <c r="Q74" i="7"/>
  <c r="O74" i="7"/>
  <c r="M74" i="7"/>
  <c r="K74" i="7"/>
  <c r="I74" i="7"/>
  <c r="G74" i="7"/>
  <c r="E74" i="7"/>
  <c r="AQ73" i="7"/>
  <c r="AO73" i="7"/>
  <c r="AM73" i="7"/>
  <c r="AK73" i="7"/>
  <c r="AI73" i="7"/>
  <c r="AG73" i="7"/>
  <c r="AE73" i="7"/>
  <c r="AC73" i="7"/>
  <c r="AA73" i="7"/>
  <c r="Y73" i="7"/>
  <c r="W73" i="7"/>
  <c r="U73" i="7"/>
  <c r="S73" i="7"/>
  <c r="Q73" i="7"/>
  <c r="O73" i="7"/>
  <c r="M73" i="7"/>
  <c r="K73" i="7"/>
  <c r="I73" i="7"/>
  <c r="G73" i="7"/>
  <c r="E73" i="7"/>
  <c r="AQ72" i="7"/>
  <c r="AO72" i="7"/>
  <c r="AM72" i="7"/>
  <c r="AK72" i="7"/>
  <c r="AI72" i="7"/>
  <c r="AG72" i="7"/>
  <c r="AE72" i="7"/>
  <c r="AC72" i="7"/>
  <c r="AA72" i="7"/>
  <c r="Y72" i="7"/>
  <c r="W72" i="7"/>
  <c r="U72" i="7"/>
  <c r="S72" i="7"/>
  <c r="Q72" i="7"/>
  <c r="O72" i="7"/>
  <c r="M72" i="7"/>
  <c r="K72" i="7"/>
  <c r="I72" i="7"/>
  <c r="G72" i="7"/>
  <c r="E72" i="7"/>
  <c r="AQ71" i="7"/>
  <c r="AO71" i="7"/>
  <c r="AM71" i="7"/>
  <c r="AK71" i="7"/>
  <c r="AI71" i="7"/>
  <c r="AG71" i="7"/>
  <c r="AE71" i="7"/>
  <c r="AC71" i="7"/>
  <c r="AA71" i="7"/>
  <c r="Y71" i="7"/>
  <c r="W71" i="7"/>
  <c r="U71" i="7"/>
  <c r="S71" i="7"/>
  <c r="Q71" i="7"/>
  <c r="O71" i="7"/>
  <c r="M71" i="7"/>
  <c r="K71" i="7"/>
  <c r="I71" i="7"/>
  <c r="G71" i="7"/>
  <c r="E71" i="7"/>
  <c r="AQ70" i="7"/>
  <c r="AO70" i="7"/>
  <c r="AM70" i="7"/>
  <c r="AK70" i="7"/>
  <c r="AI70" i="7"/>
  <c r="AG70" i="7"/>
  <c r="AE70" i="7"/>
  <c r="AC70" i="7"/>
  <c r="AA70" i="7"/>
  <c r="Y70" i="7"/>
  <c r="W70" i="7"/>
  <c r="U70" i="7"/>
  <c r="S70" i="7"/>
  <c r="Q70" i="7"/>
  <c r="O70" i="7"/>
  <c r="M70" i="7"/>
  <c r="K70" i="7"/>
  <c r="I70" i="7"/>
  <c r="G70" i="7"/>
  <c r="E70" i="7"/>
  <c r="AQ69" i="7"/>
  <c r="AO69" i="7"/>
  <c r="AM69" i="7"/>
  <c r="AK69" i="7"/>
  <c r="AI69" i="7"/>
  <c r="AG69" i="7"/>
  <c r="AE69" i="7"/>
  <c r="AC69" i="7"/>
  <c r="AA69" i="7"/>
  <c r="Y69" i="7"/>
  <c r="W69" i="7"/>
  <c r="U69" i="7"/>
  <c r="S69" i="7"/>
  <c r="Q69" i="7"/>
  <c r="O69" i="7"/>
  <c r="M69" i="7"/>
  <c r="K69" i="7"/>
  <c r="I69" i="7"/>
  <c r="G69" i="7"/>
  <c r="E69" i="7"/>
  <c r="AQ68" i="7"/>
  <c r="AO68" i="7"/>
  <c r="AM68" i="7"/>
  <c r="AK68" i="7"/>
  <c r="AI68" i="7"/>
  <c r="AG68" i="7"/>
  <c r="AE68" i="7"/>
  <c r="AC68" i="7"/>
  <c r="AA68" i="7"/>
  <c r="Y68" i="7"/>
  <c r="W68" i="7"/>
  <c r="U68" i="7"/>
  <c r="S68" i="7"/>
  <c r="Q68" i="7"/>
  <c r="O68" i="7"/>
  <c r="M68" i="7"/>
  <c r="K68" i="7"/>
  <c r="I68" i="7"/>
  <c r="G68" i="7"/>
  <c r="E68" i="7"/>
  <c r="AQ67" i="7"/>
  <c r="AO67" i="7"/>
  <c r="AM67" i="7"/>
  <c r="AK67" i="7"/>
  <c r="AI67" i="7"/>
  <c r="AG67" i="7"/>
  <c r="AE67" i="7"/>
  <c r="AC67" i="7"/>
  <c r="AA67" i="7"/>
  <c r="Y67" i="7"/>
  <c r="W67" i="7"/>
  <c r="U67" i="7"/>
  <c r="S67" i="7"/>
  <c r="Q67" i="7"/>
  <c r="O67" i="7"/>
  <c r="M67" i="7"/>
  <c r="K67" i="7"/>
  <c r="I67" i="7"/>
  <c r="G67" i="7"/>
  <c r="E67" i="7"/>
  <c r="AQ66" i="7"/>
  <c r="AO66" i="7"/>
  <c r="AM66" i="7"/>
  <c r="AK66" i="7"/>
  <c r="AI66" i="7"/>
  <c r="AG66" i="7"/>
  <c r="AE66" i="7"/>
  <c r="AC66" i="7"/>
  <c r="AA66" i="7"/>
  <c r="Y66" i="7"/>
  <c r="W66" i="7"/>
  <c r="U66" i="7"/>
  <c r="S66" i="7"/>
  <c r="Q66" i="7"/>
  <c r="O66" i="7"/>
  <c r="M66" i="7"/>
  <c r="K66" i="7"/>
  <c r="I66" i="7"/>
  <c r="G66" i="7"/>
  <c r="E66" i="7"/>
  <c r="AQ65" i="7"/>
  <c r="AO65" i="7"/>
  <c r="AM65" i="7"/>
  <c r="AK65" i="7"/>
  <c r="AI65" i="7"/>
  <c r="AG65" i="7"/>
  <c r="AE65" i="7"/>
  <c r="AC65" i="7"/>
  <c r="AA65" i="7"/>
  <c r="Y65" i="7"/>
  <c r="W65" i="7"/>
  <c r="U65" i="7"/>
  <c r="S65" i="7"/>
  <c r="Q65" i="7"/>
  <c r="O65" i="7"/>
  <c r="M65" i="7"/>
  <c r="K65" i="7"/>
  <c r="I65" i="7"/>
  <c r="G65" i="7"/>
  <c r="E65" i="7"/>
  <c r="AQ64" i="7"/>
  <c r="AO64" i="7"/>
  <c r="AM64" i="7"/>
  <c r="AK64" i="7"/>
  <c r="AI64" i="7"/>
  <c r="AG64" i="7"/>
  <c r="AE64" i="7"/>
  <c r="AC64" i="7"/>
  <c r="AA64" i="7"/>
  <c r="Y64" i="7"/>
  <c r="W64" i="7"/>
  <c r="U64" i="7"/>
  <c r="S64" i="7"/>
  <c r="Q64" i="7"/>
  <c r="O64" i="7"/>
  <c r="M64" i="7"/>
  <c r="K64" i="7"/>
  <c r="I64" i="7"/>
  <c r="G64" i="7"/>
  <c r="E64" i="7"/>
  <c r="AQ63" i="7"/>
  <c r="AO63" i="7"/>
  <c r="AM63" i="7"/>
  <c r="AK63" i="7"/>
  <c r="AI63" i="7"/>
  <c r="AG63" i="7"/>
  <c r="AE63" i="7"/>
  <c r="AC63" i="7"/>
  <c r="AA63" i="7"/>
  <c r="Y63" i="7"/>
  <c r="W63" i="7"/>
  <c r="U63" i="7"/>
  <c r="S63" i="7"/>
  <c r="Q63" i="7"/>
  <c r="O63" i="7"/>
  <c r="M63" i="7"/>
  <c r="K63" i="7"/>
  <c r="I63" i="7"/>
  <c r="G63" i="7"/>
  <c r="E63" i="7"/>
  <c r="AQ62" i="7"/>
  <c r="AO62" i="7"/>
  <c r="AM62" i="7"/>
  <c r="AK62" i="7"/>
  <c r="AI62" i="7"/>
  <c r="AG62" i="7"/>
  <c r="AE62" i="7"/>
  <c r="AC62" i="7"/>
  <c r="AA62" i="7"/>
  <c r="Y62" i="7"/>
  <c r="W62" i="7"/>
  <c r="U62" i="7"/>
  <c r="S62" i="7"/>
  <c r="Q62" i="7"/>
  <c r="O62" i="7"/>
  <c r="M62" i="7"/>
  <c r="K62" i="7"/>
  <c r="I62" i="7"/>
  <c r="G62" i="7"/>
  <c r="E62" i="7"/>
  <c r="AQ61" i="7"/>
  <c r="AO61" i="7"/>
  <c r="AM61" i="7"/>
  <c r="AK61" i="7"/>
  <c r="AI61" i="7"/>
  <c r="AG61" i="7"/>
  <c r="AE61" i="7"/>
  <c r="AC61" i="7"/>
  <c r="AA61" i="7"/>
  <c r="Y61" i="7"/>
  <c r="W61" i="7"/>
  <c r="U61" i="7"/>
  <c r="S61" i="7"/>
  <c r="Q61" i="7"/>
  <c r="O61" i="7"/>
  <c r="M61" i="7"/>
  <c r="K61" i="7"/>
  <c r="I61" i="7"/>
  <c r="G61" i="7"/>
  <c r="E61" i="7"/>
  <c r="AQ60" i="7"/>
  <c r="AO60" i="7"/>
  <c r="AM60" i="7"/>
  <c r="AK60" i="7"/>
  <c r="AI60" i="7"/>
  <c r="AG60" i="7"/>
  <c r="AE60" i="7"/>
  <c r="AC60" i="7"/>
  <c r="AA60" i="7"/>
  <c r="Y60" i="7"/>
  <c r="W60" i="7"/>
  <c r="U60" i="7"/>
  <c r="S60" i="7"/>
  <c r="Q60" i="7"/>
  <c r="O60" i="7"/>
  <c r="M60" i="7"/>
  <c r="K60" i="7"/>
  <c r="I60" i="7"/>
  <c r="G60" i="7"/>
  <c r="E60" i="7"/>
  <c r="AQ59" i="7"/>
  <c r="AO59" i="7"/>
  <c r="AM59" i="7"/>
  <c r="AK59" i="7"/>
  <c r="AI59" i="7"/>
  <c r="AG59" i="7"/>
  <c r="AE59" i="7"/>
  <c r="AC59" i="7"/>
  <c r="AA59" i="7"/>
  <c r="Y59" i="7"/>
  <c r="W59" i="7"/>
  <c r="U59" i="7"/>
  <c r="S59" i="7"/>
  <c r="Q59" i="7"/>
  <c r="O59" i="7"/>
  <c r="M59" i="7"/>
  <c r="K59" i="7"/>
  <c r="I59" i="7"/>
  <c r="G59" i="7"/>
  <c r="E59" i="7"/>
  <c r="AQ58" i="7"/>
  <c r="AO58" i="7"/>
  <c r="AM58" i="7"/>
  <c r="AK58" i="7"/>
  <c r="AI58" i="7"/>
  <c r="AG58" i="7"/>
  <c r="AE58" i="7"/>
  <c r="AC58" i="7"/>
  <c r="AA58" i="7"/>
  <c r="Y58" i="7"/>
  <c r="W58" i="7"/>
  <c r="U58" i="7"/>
  <c r="S58" i="7"/>
  <c r="Q58" i="7"/>
  <c r="O58" i="7"/>
  <c r="M58" i="7"/>
  <c r="K58" i="7"/>
  <c r="I58" i="7"/>
  <c r="G58" i="7"/>
  <c r="E58" i="7"/>
  <c r="AQ57" i="7"/>
  <c r="AO57" i="7"/>
  <c r="AM57" i="7"/>
  <c r="AK57" i="7"/>
  <c r="AI57" i="7"/>
  <c r="AG57" i="7"/>
  <c r="AE57" i="7"/>
  <c r="AC57" i="7"/>
  <c r="AA57" i="7"/>
  <c r="Y57" i="7"/>
  <c r="W57" i="7"/>
  <c r="U57" i="7"/>
  <c r="S57" i="7"/>
  <c r="Q57" i="7"/>
  <c r="O57" i="7"/>
  <c r="M57" i="7"/>
  <c r="K57" i="7"/>
  <c r="I57" i="7"/>
  <c r="G57" i="7"/>
  <c r="E57" i="7"/>
  <c r="AQ56" i="7"/>
  <c r="AO56" i="7"/>
  <c r="AM56" i="7"/>
  <c r="AK56" i="7"/>
  <c r="AI56" i="7"/>
  <c r="AG56" i="7"/>
  <c r="AE56" i="7"/>
  <c r="AC56" i="7"/>
  <c r="AA56" i="7"/>
  <c r="Y56" i="7"/>
  <c r="W56" i="7"/>
  <c r="U56" i="7"/>
  <c r="S56" i="7"/>
  <c r="Q56" i="7"/>
  <c r="O56" i="7"/>
  <c r="M56" i="7"/>
  <c r="K56" i="7"/>
  <c r="I56" i="7"/>
  <c r="G56" i="7"/>
  <c r="E56" i="7"/>
  <c r="AQ55" i="7"/>
  <c r="AO55" i="7"/>
  <c r="AM55" i="7"/>
  <c r="AK55" i="7"/>
  <c r="AI55" i="7"/>
  <c r="AG55" i="7"/>
  <c r="AE55" i="7"/>
  <c r="AC55" i="7"/>
  <c r="AA55" i="7"/>
  <c r="Y55" i="7"/>
  <c r="W55" i="7"/>
  <c r="U55" i="7"/>
  <c r="S55" i="7"/>
  <c r="Q55" i="7"/>
  <c r="O55" i="7"/>
  <c r="M55" i="7"/>
  <c r="K55" i="7"/>
  <c r="I55" i="7"/>
  <c r="G55" i="7"/>
  <c r="E55" i="7"/>
  <c r="AQ54" i="7"/>
  <c r="AO54" i="7"/>
  <c r="AM54" i="7"/>
  <c r="AK54" i="7"/>
  <c r="AI54" i="7"/>
  <c r="AG54" i="7"/>
  <c r="AE54" i="7"/>
  <c r="AC54" i="7"/>
  <c r="AA54" i="7"/>
  <c r="Y54" i="7"/>
  <c r="W54" i="7"/>
  <c r="U54" i="7"/>
  <c r="S54" i="7"/>
  <c r="Q54" i="7"/>
  <c r="O54" i="7"/>
  <c r="M54" i="7"/>
  <c r="K54" i="7"/>
  <c r="I54" i="7"/>
  <c r="G54" i="7"/>
  <c r="E54" i="7"/>
  <c r="AQ53" i="7"/>
  <c r="AO53" i="7"/>
  <c r="AM53" i="7"/>
  <c r="AK53" i="7"/>
  <c r="AI53" i="7"/>
  <c r="AG53" i="7"/>
  <c r="AE53" i="7"/>
  <c r="AC53" i="7"/>
  <c r="AA53" i="7"/>
  <c r="Y53" i="7"/>
  <c r="W53" i="7"/>
  <c r="U53" i="7"/>
  <c r="S53" i="7"/>
  <c r="Q53" i="7"/>
  <c r="O53" i="7"/>
  <c r="M53" i="7"/>
  <c r="K53" i="7"/>
  <c r="I53" i="7"/>
  <c r="G53" i="7"/>
  <c r="E53" i="7"/>
  <c r="AQ52" i="7"/>
  <c r="AO52" i="7"/>
  <c r="AM52" i="7"/>
  <c r="AK52" i="7"/>
  <c r="AI52" i="7"/>
  <c r="AG52" i="7"/>
  <c r="AE52" i="7"/>
  <c r="AC52" i="7"/>
  <c r="AA52" i="7"/>
  <c r="Y52" i="7"/>
  <c r="W52" i="7"/>
  <c r="U52" i="7"/>
  <c r="S52" i="7"/>
  <c r="Q52" i="7"/>
  <c r="O52" i="7"/>
  <c r="M52" i="7"/>
  <c r="K52" i="7"/>
  <c r="I52" i="7"/>
  <c r="G52" i="7"/>
  <c r="E52" i="7"/>
  <c r="AQ51" i="7"/>
  <c r="AO51" i="7"/>
  <c r="AM51" i="7"/>
  <c r="AK51" i="7"/>
  <c r="AI51" i="7"/>
  <c r="AG51" i="7"/>
  <c r="AE51" i="7"/>
  <c r="AC51" i="7"/>
  <c r="AA51" i="7"/>
  <c r="Y51" i="7"/>
  <c r="W51" i="7"/>
  <c r="U51" i="7"/>
  <c r="S51" i="7"/>
  <c r="Q51" i="7"/>
  <c r="O51" i="7"/>
  <c r="M51" i="7"/>
  <c r="K51" i="7"/>
  <c r="I51" i="7"/>
  <c r="G51" i="7"/>
  <c r="E51" i="7"/>
  <c r="AQ50" i="7"/>
  <c r="AO50" i="7"/>
  <c r="AM50" i="7"/>
  <c r="AK50" i="7"/>
  <c r="AI50" i="7"/>
  <c r="AG50" i="7"/>
  <c r="AE50" i="7"/>
  <c r="AC50" i="7"/>
  <c r="AA50" i="7"/>
  <c r="Y50" i="7"/>
  <c r="W50" i="7"/>
  <c r="U50" i="7"/>
  <c r="S50" i="7"/>
  <c r="Q50" i="7"/>
  <c r="O50" i="7"/>
  <c r="M50" i="7"/>
  <c r="K50" i="7"/>
  <c r="I50" i="7"/>
  <c r="G50" i="7"/>
  <c r="E50" i="7"/>
  <c r="AQ49" i="7"/>
  <c r="AO49" i="7"/>
  <c r="AM49" i="7"/>
  <c r="AK49" i="7"/>
  <c r="AI49" i="7"/>
  <c r="AG49" i="7"/>
  <c r="AE49" i="7"/>
  <c r="AC49" i="7"/>
  <c r="AA49" i="7"/>
  <c r="Y49" i="7"/>
  <c r="W49" i="7"/>
  <c r="U49" i="7"/>
  <c r="S49" i="7"/>
  <c r="Q49" i="7"/>
  <c r="O49" i="7"/>
  <c r="M49" i="7"/>
  <c r="K49" i="7"/>
  <c r="I49" i="7"/>
  <c r="G49" i="7"/>
  <c r="E49" i="7"/>
  <c r="AQ48" i="7"/>
  <c r="AO48" i="7"/>
  <c r="AM48" i="7"/>
  <c r="AK48" i="7"/>
  <c r="AI48" i="7"/>
  <c r="AG48" i="7"/>
  <c r="AE48" i="7"/>
  <c r="AC48" i="7"/>
  <c r="AA48" i="7"/>
  <c r="Y48" i="7"/>
  <c r="W48" i="7"/>
  <c r="U48" i="7"/>
  <c r="S48" i="7"/>
  <c r="Q48" i="7"/>
  <c r="O48" i="7"/>
  <c r="M48" i="7"/>
  <c r="K48" i="7"/>
  <c r="I48" i="7"/>
  <c r="G48" i="7"/>
  <c r="E48" i="7"/>
  <c r="AQ47" i="7"/>
  <c r="AO47" i="7"/>
  <c r="AM47" i="7"/>
  <c r="AK47" i="7"/>
  <c r="AI47" i="7"/>
  <c r="AG47" i="7"/>
  <c r="AE47" i="7"/>
  <c r="AC47" i="7"/>
  <c r="AA47" i="7"/>
  <c r="Y47" i="7"/>
  <c r="W47" i="7"/>
  <c r="U47" i="7"/>
  <c r="S47" i="7"/>
  <c r="Q47" i="7"/>
  <c r="O47" i="7"/>
  <c r="M47" i="7"/>
  <c r="K47" i="7"/>
  <c r="I47" i="7"/>
  <c r="G47" i="7"/>
  <c r="E47" i="7"/>
  <c r="AQ46" i="7"/>
  <c r="AO46" i="7"/>
  <c r="AM46" i="7"/>
  <c r="AK46" i="7"/>
  <c r="AI46" i="7"/>
  <c r="AG46" i="7"/>
  <c r="AE46" i="7"/>
  <c r="AC46" i="7"/>
  <c r="AA46" i="7"/>
  <c r="Y46" i="7"/>
  <c r="W46" i="7"/>
  <c r="U46" i="7"/>
  <c r="S46" i="7"/>
  <c r="Q46" i="7"/>
  <c r="O46" i="7"/>
  <c r="M46" i="7"/>
  <c r="K46" i="7"/>
  <c r="I46" i="7"/>
  <c r="G46" i="7"/>
  <c r="E46" i="7"/>
  <c r="AQ45" i="7"/>
  <c r="AO45" i="7"/>
  <c r="AM45" i="7"/>
  <c r="AK45" i="7"/>
  <c r="AI45" i="7"/>
  <c r="AG45" i="7"/>
  <c r="AE45" i="7"/>
  <c r="AC45" i="7"/>
  <c r="AA45" i="7"/>
  <c r="Y45" i="7"/>
  <c r="W45" i="7"/>
  <c r="U45" i="7"/>
  <c r="S45" i="7"/>
  <c r="Q45" i="7"/>
  <c r="O45" i="7"/>
  <c r="M45" i="7"/>
  <c r="K45" i="7"/>
  <c r="I45" i="7"/>
  <c r="G45" i="7"/>
  <c r="E45" i="7"/>
  <c r="AQ44" i="7"/>
  <c r="AO44" i="7"/>
  <c r="AM44" i="7"/>
  <c r="AK44" i="7"/>
  <c r="AI44" i="7"/>
  <c r="AG44" i="7"/>
  <c r="AE44" i="7"/>
  <c r="AC44" i="7"/>
  <c r="AA44" i="7"/>
  <c r="Y44" i="7"/>
  <c r="W44" i="7"/>
  <c r="U44" i="7"/>
  <c r="S44" i="7"/>
  <c r="Q44" i="7"/>
  <c r="O44" i="7"/>
  <c r="M44" i="7"/>
  <c r="K44" i="7"/>
  <c r="I44" i="7"/>
  <c r="G44" i="7"/>
  <c r="E44" i="7"/>
  <c r="AQ43" i="7"/>
  <c r="AO43" i="7"/>
  <c r="AM43" i="7"/>
  <c r="AK43" i="7"/>
  <c r="AI43" i="7"/>
  <c r="AG43" i="7"/>
  <c r="AE43" i="7"/>
  <c r="AC43" i="7"/>
  <c r="AA43" i="7"/>
  <c r="Y43" i="7"/>
  <c r="W43" i="7"/>
  <c r="U43" i="7"/>
  <c r="S43" i="7"/>
  <c r="Q43" i="7"/>
  <c r="O43" i="7"/>
  <c r="M43" i="7"/>
  <c r="K43" i="7"/>
  <c r="I43" i="7"/>
  <c r="G43" i="7"/>
  <c r="E43" i="7"/>
  <c r="AQ42" i="7"/>
  <c r="AO42" i="7"/>
  <c r="AM42" i="7"/>
  <c r="AK42" i="7"/>
  <c r="AI42" i="7"/>
  <c r="AG42" i="7"/>
  <c r="AE42" i="7"/>
  <c r="AC42" i="7"/>
  <c r="AA42" i="7"/>
  <c r="Y42" i="7"/>
  <c r="W42" i="7"/>
  <c r="U42" i="7"/>
  <c r="S42" i="7"/>
  <c r="Q42" i="7"/>
  <c r="O42" i="7"/>
  <c r="M42" i="7"/>
  <c r="K42" i="7"/>
  <c r="I42" i="7"/>
  <c r="G42" i="7"/>
  <c r="E42" i="7"/>
  <c r="AQ41" i="7"/>
  <c r="AO41" i="7"/>
  <c r="AM41" i="7"/>
  <c r="AK41" i="7"/>
  <c r="AI41" i="7"/>
  <c r="AG41" i="7"/>
  <c r="AE41" i="7"/>
  <c r="AC41" i="7"/>
  <c r="AA41" i="7"/>
  <c r="Y41" i="7"/>
  <c r="W41" i="7"/>
  <c r="U41" i="7"/>
  <c r="S41" i="7"/>
  <c r="Q41" i="7"/>
  <c r="O41" i="7"/>
  <c r="M41" i="7"/>
  <c r="K41" i="7"/>
  <c r="I41" i="7"/>
  <c r="G41" i="7"/>
  <c r="E41" i="7"/>
  <c r="AQ40" i="7"/>
  <c r="AO40" i="7"/>
  <c r="AM40" i="7"/>
  <c r="AK40" i="7"/>
  <c r="AI40" i="7"/>
  <c r="AG40" i="7"/>
  <c r="AE40" i="7"/>
  <c r="AC40" i="7"/>
  <c r="AA40" i="7"/>
  <c r="Y40" i="7"/>
  <c r="W40" i="7"/>
  <c r="U40" i="7"/>
  <c r="S40" i="7"/>
  <c r="Q40" i="7"/>
  <c r="O40" i="7"/>
  <c r="M40" i="7"/>
  <c r="K40" i="7"/>
  <c r="I40" i="7"/>
  <c r="G40" i="7"/>
  <c r="E40" i="7"/>
  <c r="AQ39" i="7"/>
  <c r="AO39" i="7"/>
  <c r="AM39" i="7"/>
  <c r="AK39" i="7"/>
  <c r="AI39" i="7"/>
  <c r="AG39" i="7"/>
  <c r="AE39" i="7"/>
  <c r="AC39" i="7"/>
  <c r="AA39" i="7"/>
  <c r="Y39" i="7"/>
  <c r="W39" i="7"/>
  <c r="U39" i="7"/>
  <c r="S39" i="7"/>
  <c r="Q39" i="7"/>
  <c r="O39" i="7"/>
  <c r="M39" i="7"/>
  <c r="K39" i="7"/>
  <c r="I39" i="7"/>
  <c r="G39" i="7"/>
  <c r="E39" i="7"/>
  <c r="AQ38" i="7"/>
  <c r="AO38" i="7"/>
  <c r="AM38" i="7"/>
  <c r="AK38" i="7"/>
  <c r="AI38" i="7"/>
  <c r="AG38" i="7"/>
  <c r="AE38" i="7"/>
  <c r="AC38" i="7"/>
  <c r="AA38" i="7"/>
  <c r="Y38" i="7"/>
  <c r="W38" i="7"/>
  <c r="U38" i="7"/>
  <c r="S38" i="7"/>
  <c r="Q38" i="7"/>
  <c r="O38" i="7"/>
  <c r="M38" i="7"/>
  <c r="K38" i="7"/>
  <c r="I38" i="7"/>
  <c r="G38" i="7"/>
  <c r="E38" i="7"/>
  <c r="AQ37" i="7"/>
  <c r="AO37" i="7"/>
  <c r="AM37" i="7"/>
  <c r="AK37" i="7"/>
  <c r="AI37" i="7"/>
  <c r="AG37" i="7"/>
  <c r="AE37" i="7"/>
  <c r="AC37" i="7"/>
  <c r="AA37" i="7"/>
  <c r="Y37" i="7"/>
  <c r="W37" i="7"/>
  <c r="U37" i="7"/>
  <c r="S37" i="7"/>
  <c r="Q37" i="7"/>
  <c r="O37" i="7"/>
  <c r="M37" i="7"/>
  <c r="K37" i="7"/>
  <c r="I37" i="7"/>
  <c r="G37" i="7"/>
  <c r="E37" i="7"/>
  <c r="AQ36" i="7"/>
  <c r="AO36" i="7"/>
  <c r="AM36" i="7"/>
  <c r="AK36" i="7"/>
  <c r="AI36" i="7"/>
  <c r="AG36" i="7"/>
  <c r="AE36" i="7"/>
  <c r="AC36" i="7"/>
  <c r="AA36" i="7"/>
  <c r="Y36" i="7"/>
  <c r="W36" i="7"/>
  <c r="U36" i="7"/>
  <c r="S36" i="7"/>
  <c r="Q36" i="7"/>
  <c r="O36" i="7"/>
  <c r="M36" i="7"/>
  <c r="K36" i="7"/>
  <c r="I36" i="7"/>
  <c r="G36" i="7"/>
  <c r="E36" i="7"/>
  <c r="AQ35" i="7"/>
  <c r="AO35" i="7"/>
  <c r="AM35" i="7"/>
  <c r="AK35" i="7"/>
  <c r="AI35" i="7"/>
  <c r="AG35" i="7"/>
  <c r="AE35" i="7"/>
  <c r="AC35" i="7"/>
  <c r="AA35" i="7"/>
  <c r="Y35" i="7"/>
  <c r="W35" i="7"/>
  <c r="U35" i="7"/>
  <c r="S35" i="7"/>
  <c r="Q35" i="7"/>
  <c r="O35" i="7"/>
  <c r="M35" i="7"/>
  <c r="K35" i="7"/>
  <c r="I35" i="7"/>
  <c r="G35" i="7"/>
  <c r="E35" i="7"/>
  <c r="AQ34" i="7"/>
  <c r="AO34" i="7"/>
  <c r="AM34" i="7"/>
  <c r="AK34" i="7"/>
  <c r="AI34" i="7"/>
  <c r="AG34" i="7"/>
  <c r="AE34" i="7"/>
  <c r="AC34" i="7"/>
  <c r="AA34" i="7"/>
  <c r="Y34" i="7"/>
  <c r="W34" i="7"/>
  <c r="U34" i="7"/>
  <c r="S34" i="7"/>
  <c r="Q34" i="7"/>
  <c r="O34" i="7"/>
  <c r="M34" i="7"/>
  <c r="K34" i="7"/>
  <c r="I34" i="7"/>
  <c r="G34" i="7"/>
  <c r="E34" i="7"/>
  <c r="AQ33" i="7"/>
  <c r="AO33" i="7"/>
  <c r="AM33" i="7"/>
  <c r="AK33" i="7"/>
  <c r="AI33" i="7"/>
  <c r="AG33" i="7"/>
  <c r="AE33" i="7"/>
  <c r="AC33" i="7"/>
  <c r="AA33" i="7"/>
  <c r="Y33" i="7"/>
  <c r="W33" i="7"/>
  <c r="U33" i="7"/>
  <c r="S33" i="7"/>
  <c r="Q33" i="7"/>
  <c r="O33" i="7"/>
  <c r="M33" i="7"/>
  <c r="K33" i="7"/>
  <c r="I33" i="7"/>
  <c r="G33" i="7"/>
  <c r="E33" i="7"/>
  <c r="AQ32" i="7"/>
  <c r="AO32" i="7"/>
  <c r="AM32" i="7"/>
  <c r="AK32" i="7"/>
  <c r="AI32" i="7"/>
  <c r="AG32" i="7"/>
  <c r="AE32" i="7"/>
  <c r="AC32" i="7"/>
  <c r="AA32" i="7"/>
  <c r="Y32" i="7"/>
  <c r="W32" i="7"/>
  <c r="U32" i="7"/>
  <c r="S32" i="7"/>
  <c r="Q32" i="7"/>
  <c r="O32" i="7"/>
  <c r="M32" i="7"/>
  <c r="K32" i="7"/>
  <c r="I32" i="7"/>
  <c r="G32" i="7"/>
  <c r="E32" i="7"/>
  <c r="AQ31" i="7"/>
  <c r="AO31" i="7"/>
  <c r="AM31" i="7"/>
  <c r="AK31" i="7"/>
  <c r="AI31" i="7"/>
  <c r="AG31" i="7"/>
  <c r="AE31" i="7"/>
  <c r="AC31" i="7"/>
  <c r="AA31" i="7"/>
  <c r="Y31" i="7"/>
  <c r="W31" i="7"/>
  <c r="U31" i="7"/>
  <c r="S31" i="7"/>
  <c r="Q31" i="7"/>
  <c r="O31" i="7"/>
  <c r="M31" i="7"/>
  <c r="K31" i="7"/>
  <c r="I31" i="7"/>
  <c r="G31" i="7"/>
  <c r="E31" i="7"/>
  <c r="AQ30" i="7"/>
  <c r="AO30" i="7"/>
  <c r="AM30" i="7"/>
  <c r="AK30" i="7"/>
  <c r="AI30" i="7"/>
  <c r="AG30" i="7"/>
  <c r="AE30" i="7"/>
  <c r="AC30" i="7"/>
  <c r="AA30" i="7"/>
  <c r="Y30" i="7"/>
  <c r="W30" i="7"/>
  <c r="U30" i="7"/>
  <c r="S30" i="7"/>
  <c r="Q30" i="7"/>
  <c r="O30" i="7"/>
  <c r="M30" i="7"/>
  <c r="K30" i="7"/>
  <c r="I30" i="7"/>
  <c r="G30" i="7"/>
  <c r="E30" i="7"/>
  <c r="AQ29" i="7"/>
  <c r="AO29" i="7"/>
  <c r="AM29" i="7"/>
  <c r="AK29" i="7"/>
  <c r="AI29" i="7"/>
  <c r="AG29" i="7"/>
  <c r="AE29" i="7"/>
  <c r="AC29" i="7"/>
  <c r="AA29" i="7"/>
  <c r="Y29" i="7"/>
  <c r="W29" i="7"/>
  <c r="U29" i="7"/>
  <c r="S29" i="7"/>
  <c r="Q29" i="7"/>
  <c r="O29" i="7"/>
  <c r="M29" i="7"/>
  <c r="K29" i="7"/>
  <c r="I29" i="7"/>
  <c r="G29" i="7"/>
  <c r="E29" i="7"/>
  <c r="AQ28" i="7"/>
  <c r="AO28" i="7"/>
  <c r="AM28" i="7"/>
  <c r="AK28" i="7"/>
  <c r="AI28" i="7"/>
  <c r="AG28" i="7"/>
  <c r="AE28" i="7"/>
  <c r="AC28" i="7"/>
  <c r="AA28" i="7"/>
  <c r="Y28" i="7"/>
  <c r="W28" i="7"/>
  <c r="U28" i="7"/>
  <c r="S28" i="7"/>
  <c r="Q28" i="7"/>
  <c r="O28" i="7"/>
  <c r="M28" i="7"/>
  <c r="K28" i="7"/>
  <c r="I28" i="7"/>
  <c r="G28" i="7"/>
  <c r="E28" i="7"/>
  <c r="AQ27" i="7"/>
  <c r="AO27" i="7"/>
  <c r="AM27" i="7"/>
  <c r="AK27" i="7"/>
  <c r="AI27" i="7"/>
  <c r="AG27" i="7"/>
  <c r="AE27" i="7"/>
  <c r="AC27" i="7"/>
  <c r="AA27" i="7"/>
  <c r="Y27" i="7"/>
  <c r="W27" i="7"/>
  <c r="U27" i="7"/>
  <c r="S27" i="7"/>
  <c r="Q27" i="7"/>
  <c r="O27" i="7"/>
  <c r="M27" i="7"/>
  <c r="K27" i="7"/>
  <c r="I27" i="7"/>
  <c r="G27" i="7"/>
  <c r="E27" i="7"/>
  <c r="AQ26" i="7"/>
  <c r="AO26" i="7"/>
  <c r="AM26" i="7"/>
  <c r="AK26" i="7"/>
  <c r="AI26" i="7"/>
  <c r="AG26" i="7"/>
  <c r="AE26" i="7"/>
  <c r="AC26" i="7"/>
  <c r="AA26" i="7"/>
  <c r="Y26" i="7"/>
  <c r="W26" i="7"/>
  <c r="U26" i="7"/>
  <c r="S26" i="7"/>
  <c r="Q26" i="7"/>
  <c r="O26" i="7"/>
  <c r="M26" i="7"/>
  <c r="K26" i="7"/>
  <c r="I26" i="7"/>
  <c r="G26" i="7"/>
  <c r="E26" i="7"/>
  <c r="AQ25" i="7"/>
  <c r="AO25" i="7"/>
  <c r="AM25" i="7"/>
  <c r="AK25" i="7"/>
  <c r="AI25" i="7"/>
  <c r="AG25" i="7"/>
  <c r="AE25" i="7"/>
  <c r="AC25" i="7"/>
  <c r="AA25" i="7"/>
  <c r="Y25" i="7"/>
  <c r="W25" i="7"/>
  <c r="U25" i="7"/>
  <c r="S25" i="7"/>
  <c r="Q25" i="7"/>
  <c r="O25" i="7"/>
  <c r="M25" i="7"/>
  <c r="K25" i="7"/>
  <c r="I25" i="7"/>
  <c r="G25" i="7"/>
  <c r="E25" i="7"/>
  <c r="AQ24" i="7"/>
  <c r="AO24" i="7"/>
  <c r="AM24" i="7"/>
  <c r="AK24" i="7"/>
  <c r="AI24" i="7"/>
  <c r="AG24" i="7"/>
  <c r="AE24" i="7"/>
  <c r="AC24" i="7"/>
  <c r="AA24" i="7"/>
  <c r="Y24" i="7"/>
  <c r="W24" i="7"/>
  <c r="U24" i="7"/>
  <c r="S24" i="7"/>
  <c r="Q24" i="7"/>
  <c r="O24" i="7"/>
  <c r="M24" i="7"/>
  <c r="K24" i="7"/>
  <c r="I24" i="7"/>
  <c r="G24" i="7"/>
  <c r="E24" i="7"/>
  <c r="AQ23" i="7"/>
  <c r="AO23" i="7"/>
  <c r="AM23" i="7"/>
  <c r="AK23" i="7"/>
  <c r="AI23" i="7"/>
  <c r="AG23" i="7"/>
  <c r="AE23" i="7"/>
  <c r="AC23" i="7"/>
  <c r="AA23" i="7"/>
  <c r="Y23" i="7"/>
  <c r="W23" i="7"/>
  <c r="U23" i="7"/>
  <c r="S23" i="7"/>
  <c r="Q23" i="7"/>
  <c r="O23" i="7"/>
  <c r="M23" i="7"/>
  <c r="K23" i="7"/>
  <c r="I23" i="7"/>
  <c r="G23" i="7"/>
  <c r="E23" i="7"/>
  <c r="AQ22" i="7"/>
  <c r="AO22" i="7"/>
  <c r="AM22" i="7"/>
  <c r="AK22" i="7"/>
  <c r="AI22" i="7"/>
  <c r="AG22" i="7"/>
  <c r="AE22" i="7"/>
  <c r="AC22" i="7"/>
  <c r="AA22" i="7"/>
  <c r="Y22" i="7"/>
  <c r="W22" i="7"/>
  <c r="U22" i="7"/>
  <c r="S22" i="7"/>
  <c r="Q22" i="7"/>
  <c r="O22" i="7"/>
  <c r="M22" i="7"/>
  <c r="K22" i="7"/>
  <c r="I22" i="7"/>
  <c r="G22" i="7"/>
  <c r="E22" i="7"/>
  <c r="AQ21" i="7"/>
  <c r="AO21" i="7"/>
  <c r="AM21" i="7"/>
  <c r="AK21" i="7"/>
  <c r="AI21" i="7"/>
  <c r="AG21" i="7"/>
  <c r="AE21" i="7"/>
  <c r="AC21" i="7"/>
  <c r="AA21" i="7"/>
  <c r="Y21" i="7"/>
  <c r="W21" i="7"/>
  <c r="U21" i="7"/>
  <c r="S21" i="7"/>
  <c r="Q21" i="7"/>
  <c r="O21" i="7"/>
  <c r="M21" i="7"/>
  <c r="K21" i="7"/>
  <c r="I21" i="7"/>
  <c r="G21" i="7"/>
  <c r="E21" i="7"/>
  <c r="AQ20" i="7"/>
  <c r="AO20" i="7"/>
  <c r="AM20" i="7"/>
  <c r="AK20" i="7"/>
  <c r="AI20" i="7"/>
  <c r="AG20" i="7"/>
  <c r="AE20" i="7"/>
  <c r="AC20" i="7"/>
  <c r="AA20" i="7"/>
  <c r="Y20" i="7"/>
  <c r="W20" i="7"/>
  <c r="U20" i="7"/>
  <c r="S20" i="7"/>
  <c r="Q20" i="7"/>
  <c r="O20" i="7"/>
  <c r="M20" i="7"/>
  <c r="K20" i="7"/>
  <c r="I20" i="7"/>
  <c r="G20" i="7"/>
  <c r="E20" i="7"/>
  <c r="AQ19" i="7"/>
  <c r="AO19" i="7"/>
  <c r="AM19" i="7"/>
  <c r="AK19" i="7"/>
  <c r="AI19" i="7"/>
  <c r="AG19" i="7"/>
  <c r="AE19" i="7"/>
  <c r="AC19" i="7"/>
  <c r="AA19" i="7"/>
  <c r="Y19" i="7"/>
  <c r="W19" i="7"/>
  <c r="U19" i="7"/>
  <c r="S19" i="7"/>
  <c r="Q19" i="7"/>
  <c r="O19" i="7"/>
  <c r="M19" i="7"/>
  <c r="K19" i="7"/>
  <c r="I19" i="7"/>
  <c r="G19" i="7"/>
  <c r="E19" i="7"/>
  <c r="AQ18" i="7"/>
  <c r="AO18" i="7"/>
  <c r="AM18" i="7"/>
  <c r="AK18" i="7"/>
  <c r="AI18" i="7"/>
  <c r="AG18" i="7"/>
  <c r="AE18" i="7"/>
  <c r="AC18" i="7"/>
  <c r="AA18" i="7"/>
  <c r="Y18" i="7"/>
  <c r="W18" i="7"/>
  <c r="U18" i="7"/>
  <c r="S18" i="7"/>
  <c r="Q18" i="7"/>
  <c r="O18" i="7"/>
  <c r="M18" i="7"/>
  <c r="K18" i="7"/>
  <c r="I18" i="7"/>
  <c r="G18" i="7"/>
  <c r="E18" i="7"/>
  <c r="AQ17" i="7"/>
  <c r="AO17" i="7"/>
  <c r="AM17" i="7"/>
  <c r="AK17" i="7"/>
  <c r="AI17" i="7"/>
  <c r="AG17" i="7"/>
  <c r="AE17" i="7"/>
  <c r="AC17" i="7"/>
  <c r="AA17" i="7"/>
  <c r="Y17" i="7"/>
  <c r="W17" i="7"/>
  <c r="U17" i="7"/>
  <c r="S17" i="7"/>
  <c r="Q17" i="7"/>
  <c r="O17" i="7"/>
  <c r="M17" i="7"/>
  <c r="K17" i="7"/>
  <c r="I17" i="7"/>
  <c r="G17" i="7"/>
  <c r="E17" i="7"/>
  <c r="AQ16" i="7"/>
  <c r="AO16" i="7"/>
  <c r="AM16" i="7"/>
  <c r="AK16" i="7"/>
  <c r="AI16" i="7"/>
  <c r="AG16" i="7"/>
  <c r="AE16" i="7"/>
  <c r="AC16" i="7"/>
  <c r="AA16" i="7"/>
  <c r="Y16" i="7"/>
  <c r="W16" i="7"/>
  <c r="U16" i="7"/>
  <c r="S16" i="7"/>
  <c r="Q16" i="7"/>
  <c r="O16" i="7"/>
  <c r="M16" i="7"/>
  <c r="K16" i="7"/>
  <c r="I16" i="7"/>
  <c r="G16" i="7"/>
  <c r="E16" i="7"/>
  <c r="AQ15" i="7"/>
  <c r="AO15" i="7"/>
  <c r="AM15" i="7"/>
  <c r="AK15" i="7"/>
  <c r="AI15" i="7"/>
  <c r="AG15" i="7"/>
  <c r="AE15" i="7"/>
  <c r="AC15" i="7"/>
  <c r="AA15" i="7"/>
  <c r="Y15" i="7"/>
  <c r="W15" i="7"/>
  <c r="U15" i="7"/>
  <c r="S15" i="7"/>
  <c r="Q15" i="7"/>
  <c r="O15" i="7"/>
  <c r="M15" i="7"/>
  <c r="K15" i="7"/>
  <c r="I15" i="7"/>
  <c r="G15" i="7"/>
  <c r="E15" i="7"/>
  <c r="AQ14" i="7"/>
  <c r="AO14" i="7"/>
  <c r="AM14" i="7"/>
  <c r="AK14" i="7"/>
  <c r="AI14" i="7"/>
  <c r="AG14" i="7"/>
  <c r="AE14" i="7"/>
  <c r="AC14" i="7"/>
  <c r="AA14" i="7"/>
  <c r="Y14" i="7"/>
  <c r="W14" i="7"/>
  <c r="U14" i="7"/>
  <c r="S14" i="7"/>
  <c r="Q14" i="7"/>
  <c r="O14" i="7"/>
  <c r="M14" i="7"/>
  <c r="K14" i="7"/>
  <c r="I14" i="7"/>
  <c r="I1" i="7" s="1"/>
  <c r="I3" i="7" s="1"/>
  <c r="G14" i="7"/>
  <c r="E14" i="7"/>
  <c r="AQ13" i="7"/>
  <c r="AO13" i="7"/>
  <c r="AM13" i="7"/>
  <c r="AM4" i="7" s="1"/>
  <c r="AK13" i="7"/>
  <c r="AI13" i="7"/>
  <c r="AI5" i="7" s="1"/>
  <c r="AG13" i="7"/>
  <c r="AE13" i="7"/>
  <c r="AC13" i="7"/>
  <c r="AA13" i="7"/>
  <c r="Y13" i="7"/>
  <c r="W13" i="7"/>
  <c r="U13" i="7"/>
  <c r="S13" i="7"/>
  <c r="Q13" i="7"/>
  <c r="O13" i="7"/>
  <c r="M13" i="7"/>
  <c r="K13" i="7"/>
  <c r="I13" i="7"/>
  <c r="G13" i="7"/>
  <c r="E13" i="7"/>
  <c r="AQ12" i="7"/>
  <c r="AQ1" i="7" s="1"/>
  <c r="AQ3" i="7" s="1"/>
  <c r="AO12" i="7"/>
  <c r="AO1" i="7" s="1"/>
  <c r="AO3" i="7" s="1"/>
  <c r="AM12" i="7"/>
  <c r="AK12" i="7"/>
  <c r="AI12" i="7"/>
  <c r="AG12" i="7"/>
  <c r="AE12" i="7"/>
  <c r="AC12" i="7"/>
  <c r="AA12" i="7"/>
  <c r="AA1" i="7" s="1"/>
  <c r="AA3" i="7" s="1"/>
  <c r="Y12" i="7"/>
  <c r="W12" i="7"/>
  <c r="U12" i="7"/>
  <c r="S12" i="7"/>
  <c r="Q12" i="7"/>
  <c r="Q1" i="7" s="1"/>
  <c r="Q3" i="7" s="1"/>
  <c r="O12" i="7"/>
  <c r="M12" i="7"/>
  <c r="M6" i="7" s="1"/>
  <c r="K12" i="7"/>
  <c r="K1" i="7" s="1"/>
  <c r="K2" i="7" s="1"/>
  <c r="I12" i="7"/>
  <c r="G12" i="7"/>
  <c r="E12" i="7"/>
  <c r="E1" i="7"/>
  <c r="E2" i="7" s="1"/>
  <c r="AQ10" i="7"/>
  <c r="AO10" i="7"/>
  <c r="AM10" i="7"/>
  <c r="AK10" i="7"/>
  <c r="AI10" i="7"/>
  <c r="AG10" i="7"/>
  <c r="AE10" i="7"/>
  <c r="AC10" i="7"/>
  <c r="AA10" i="7"/>
  <c r="Y10" i="7"/>
  <c r="W10" i="7"/>
  <c r="U10" i="7"/>
  <c r="S10" i="7"/>
  <c r="Q10" i="7"/>
  <c r="O10" i="7"/>
  <c r="M10" i="7"/>
  <c r="K10" i="7"/>
  <c r="I10" i="7"/>
  <c r="G10" i="7"/>
  <c r="E10" i="7"/>
  <c r="AM5" i="7"/>
  <c r="AM3" i="7"/>
  <c r="AE1" i="7"/>
  <c r="AE2" i="7" s="1"/>
  <c r="AC1" i="7"/>
  <c r="AC2" i="7" s="1"/>
  <c r="U1" i="7"/>
  <c r="U3" i="7" s="1"/>
  <c r="F23" i="4"/>
  <c r="F24" i="4" s="1"/>
  <c r="D22" i="4"/>
  <c r="I13" i="4"/>
  <c r="I20" i="4"/>
  <c r="J10" i="4"/>
  <c r="N8" i="4"/>
  <c r="H9" i="4" s="1"/>
  <c r="N6" i="4"/>
  <c r="H7" i="4" s="1"/>
  <c r="O13" i="3"/>
  <c r="I20" i="3"/>
  <c r="I13" i="3"/>
  <c r="H9" i="3"/>
  <c r="D8" i="3"/>
  <c r="H7" i="3"/>
  <c r="D7" i="3"/>
  <c r="I7" i="3"/>
  <c r="K7" i="3" s="1"/>
  <c r="K10" i="3" s="1"/>
  <c r="X64" i="2"/>
  <c r="X56" i="2"/>
  <c r="X57" i="2" s="1"/>
  <c r="X53" i="2"/>
  <c r="X49" i="2"/>
  <c r="R16" i="2" s="1"/>
  <c r="T16" i="2" s="1"/>
  <c r="X50" i="2"/>
  <c r="T47" i="2"/>
  <c r="F28" i="2"/>
  <c r="F29" i="2"/>
  <c r="R13" i="2"/>
  <c r="P17" i="2"/>
  <c r="R21" i="2"/>
  <c r="T21" i="2"/>
  <c r="R17" i="2"/>
  <c r="T17" i="2" s="1"/>
  <c r="H9" i="2"/>
  <c r="H7" i="2"/>
  <c r="K7" i="2"/>
  <c r="U4" i="2"/>
  <c r="U24" i="2" s="1"/>
  <c r="M75" i="1"/>
  <c r="H75" i="1"/>
  <c r="C75" i="1"/>
  <c r="M74" i="1"/>
  <c r="H74" i="1"/>
  <c r="H78" i="1" s="1"/>
  <c r="C74" i="1"/>
  <c r="M71" i="1"/>
  <c r="H71" i="1"/>
  <c r="C71" i="1"/>
  <c r="D71" i="1" s="1"/>
  <c r="D78" i="1" s="1"/>
  <c r="D81" i="1" s="1"/>
  <c r="M41" i="1"/>
  <c r="H41" i="1"/>
  <c r="C41" i="1"/>
  <c r="H40" i="1"/>
  <c r="H44" i="1" s="1"/>
  <c r="C40" i="1"/>
  <c r="M37" i="1"/>
  <c r="M44" i="1" s="1"/>
  <c r="N51" i="1" s="1"/>
  <c r="H37" i="1"/>
  <c r="C37" i="1"/>
  <c r="F31" i="1"/>
  <c r="F65" i="1" s="1"/>
  <c r="F97" i="1" s="1"/>
  <c r="A31" i="1"/>
  <c r="A65" i="1"/>
  <c r="A97" i="1" s="1"/>
  <c r="G27" i="1"/>
  <c r="H8" i="1"/>
  <c r="H7" i="1"/>
  <c r="H6" i="1"/>
  <c r="H5" i="1"/>
  <c r="H11" i="1" s="1"/>
  <c r="J13" i="2"/>
  <c r="B27" i="1"/>
  <c r="D25" i="2"/>
  <c r="R26" i="2" s="1"/>
  <c r="R18" i="2"/>
  <c r="T18" i="2"/>
  <c r="T19" i="2"/>
  <c r="R20" i="2"/>
  <c r="T20" i="2"/>
  <c r="U23" i="2"/>
  <c r="L81" i="1"/>
  <c r="G81" i="1"/>
  <c r="B81" i="1"/>
  <c r="L47" i="1"/>
  <c r="G47" i="1"/>
  <c r="B47" i="1"/>
  <c r="B14" i="1"/>
  <c r="G14" i="1"/>
  <c r="L93" i="1"/>
  <c r="G93" i="1"/>
  <c r="B93" i="1"/>
  <c r="L61" i="1"/>
  <c r="G61" i="1"/>
  <c r="B61" i="1"/>
  <c r="M51" i="1"/>
  <c r="C22" i="1"/>
  <c r="D22" i="1" s="1"/>
  <c r="C55" i="1"/>
  <c r="E14" i="11"/>
  <c r="C53" i="1"/>
  <c r="C54" i="1"/>
  <c r="C21" i="1"/>
  <c r="C88" i="1"/>
  <c r="H54" i="1"/>
  <c r="H21" i="1"/>
  <c r="M54" i="1"/>
  <c r="N54" i="1" s="1"/>
  <c r="O24" i="2"/>
  <c r="E16" i="11"/>
  <c r="M55" i="1"/>
  <c r="H89" i="1"/>
  <c r="H55" i="1"/>
  <c r="H22" i="1"/>
  <c r="H18" i="1"/>
  <c r="I18" i="1" s="1"/>
  <c r="H83" i="1"/>
  <c r="H51" i="1"/>
  <c r="C89" i="1"/>
  <c r="E11" i="11"/>
  <c r="C18" i="1"/>
  <c r="H49" i="1"/>
  <c r="C85" i="1"/>
  <c r="C51" i="1"/>
  <c r="M83" i="1"/>
  <c r="C49" i="1"/>
  <c r="C83" i="1"/>
  <c r="H16" i="1"/>
  <c r="M49" i="1"/>
  <c r="N49" i="1" s="1"/>
  <c r="H88" i="1"/>
  <c r="E10" i="11"/>
  <c r="H50" i="1"/>
  <c r="C52" i="1"/>
  <c r="H86" i="1"/>
  <c r="I71" i="1"/>
  <c r="I78" i="1" s="1"/>
  <c r="C11" i="1"/>
  <c r="D16" i="1" s="1"/>
  <c r="N71" i="1"/>
  <c r="N78" i="1" s="1"/>
  <c r="H85" i="1"/>
  <c r="I85" i="1" s="1"/>
  <c r="X7" i="2"/>
  <c r="J9" i="2" s="1"/>
  <c r="L9" i="2" s="1"/>
  <c r="O8" i="4"/>
  <c r="I9" i="4" s="1"/>
  <c r="K9" i="4" s="1"/>
  <c r="P8" i="3"/>
  <c r="I9" i="3" s="1"/>
  <c r="K9" i="3" s="1"/>
  <c r="X6" i="2"/>
  <c r="J8" i="2" s="1"/>
  <c r="L8" i="2" s="1"/>
  <c r="O7" i="4"/>
  <c r="I8" i="4" s="1"/>
  <c r="K8" i="4" s="1"/>
  <c r="P7" i="3"/>
  <c r="I8" i="3" s="1"/>
  <c r="K8" i="3" s="1"/>
  <c r="D24" i="3"/>
  <c r="F25" i="3"/>
  <c r="F26" i="3" s="1"/>
  <c r="L24" i="2"/>
  <c r="X20" i="2"/>
  <c r="J28" i="2"/>
  <c r="O16" i="4"/>
  <c r="F21" i="11" s="1"/>
  <c r="G21" i="11" s="1"/>
  <c r="L24" i="1"/>
  <c r="G31" i="1" s="1"/>
  <c r="P14" i="3"/>
  <c r="I23" i="3" s="1"/>
  <c r="C17" i="1"/>
  <c r="B37" i="1"/>
  <c r="M50" i="1"/>
  <c r="C87" i="1"/>
  <c r="M86" i="1"/>
  <c r="H17" i="1"/>
  <c r="C20" i="1"/>
  <c r="G37" i="1"/>
  <c r="I37" i="1" s="1"/>
  <c r="I44" i="1" s="1"/>
  <c r="I47" i="1" s="1"/>
  <c r="I48" i="1" s="1"/>
  <c r="M53" i="1"/>
  <c r="C86" i="1"/>
  <c r="O6" i="4"/>
  <c r="I7" i="4" s="1"/>
  <c r="K7" i="4" s="1"/>
  <c r="K10" i="4" s="1"/>
  <c r="AI1" i="7"/>
  <c r="H20" i="1"/>
  <c r="H52" i="1"/>
  <c r="L37" i="1"/>
  <c r="N37" i="1" s="1"/>
  <c r="N44" i="1" s="1"/>
  <c r="H84" i="1"/>
  <c r="C19" i="1"/>
  <c r="D19" i="1" s="1"/>
  <c r="M52" i="1"/>
  <c r="C50" i="1"/>
  <c r="H87" i="1"/>
  <c r="C84" i="1"/>
  <c r="G75" i="1"/>
  <c r="G8" i="1"/>
  <c r="I8" i="1" s="1"/>
  <c r="L41" i="1"/>
  <c r="D8" i="1"/>
  <c r="L75" i="1"/>
  <c r="N75" i="1" s="1"/>
  <c r="G41" i="1"/>
  <c r="B75" i="1"/>
  <c r="D75" i="1"/>
  <c r="B41" i="1"/>
  <c r="D41" i="1" s="1"/>
  <c r="G39" i="1"/>
  <c r="I39" i="1" s="1"/>
  <c r="B73" i="1"/>
  <c r="D73" i="1" s="1"/>
  <c r="B39" i="1"/>
  <c r="D39" i="1" s="1"/>
  <c r="G73" i="1"/>
  <c r="I73" i="1" s="1"/>
  <c r="G6" i="1"/>
  <c r="L73" i="1"/>
  <c r="N73" i="1" s="1"/>
  <c r="L39" i="1"/>
  <c r="N39" i="1"/>
  <c r="B38" i="1"/>
  <c r="D38" i="1" s="1"/>
  <c r="G72" i="1"/>
  <c r="I72" i="1" s="1"/>
  <c r="L72" i="1"/>
  <c r="N72" i="1" s="1"/>
  <c r="L38" i="1"/>
  <c r="N38" i="1" s="1"/>
  <c r="G38" i="1"/>
  <c r="I38" i="1" s="1"/>
  <c r="B72" i="1"/>
  <c r="D72" i="1" s="1"/>
  <c r="I22" i="1" l="1"/>
  <c r="I19" i="1"/>
  <c r="L65" i="1"/>
  <c r="L97" i="1" s="1"/>
  <c r="G65" i="1"/>
  <c r="G97" i="1" s="1"/>
  <c r="I6" i="1"/>
  <c r="I41" i="1"/>
  <c r="AI3" i="7"/>
  <c r="N53" i="1"/>
  <c r="D37" i="1"/>
  <c r="D44" i="1" s="1"/>
  <c r="I5" i="1"/>
  <c r="I11" i="1" s="1"/>
  <c r="I75" i="1"/>
  <c r="N52" i="1"/>
  <c r="I21" i="1"/>
  <c r="N50" i="1"/>
  <c r="D17" i="1"/>
  <c r="I16" i="1"/>
  <c r="D18" i="1"/>
  <c r="C44" i="1"/>
  <c r="M78" i="1"/>
  <c r="N86" i="1" s="1"/>
  <c r="M2" i="7"/>
  <c r="AG1" i="7"/>
  <c r="AG3" i="7" s="1"/>
  <c r="O1" i="7"/>
  <c r="O3" i="7" s="1"/>
  <c r="S1" i="7"/>
  <c r="S2" i="7" s="1"/>
  <c r="AI6" i="7"/>
  <c r="Y1" i="7"/>
  <c r="Y3" i="7" s="1"/>
  <c r="V16" i="2"/>
  <c r="D6" i="1"/>
  <c r="D21" i="1"/>
  <c r="D20" i="1"/>
  <c r="D25" i="1" s="1"/>
  <c r="AI4" i="7"/>
  <c r="N55" i="1"/>
  <c r="D54" i="1"/>
  <c r="M4" i="7"/>
  <c r="D5" i="1"/>
  <c r="D11" i="1" s="1"/>
  <c r="D14" i="1" s="1"/>
  <c r="R17" i="19"/>
  <c r="L24" i="24"/>
  <c r="I88" i="1"/>
  <c r="D85" i="1"/>
  <c r="D84" i="1"/>
  <c r="I52" i="1"/>
  <c r="I17" i="1"/>
  <c r="I25" i="1" s="1"/>
  <c r="D53" i="1"/>
  <c r="I20" i="1"/>
  <c r="AI2" i="7"/>
  <c r="C78" i="1"/>
  <c r="D87" i="1" s="1"/>
  <c r="AK1" i="7"/>
  <c r="AK3" i="7" s="1"/>
  <c r="K17" i="19"/>
  <c r="V16" i="24"/>
  <c r="G1" i="7"/>
  <c r="G2" i="7" s="1"/>
  <c r="W1" i="7"/>
  <c r="W3" i="7" s="1"/>
  <c r="D17" i="19"/>
  <c r="U23" i="24"/>
  <c r="T10" i="24"/>
  <c r="O10" i="24" s="1"/>
  <c r="L10" i="23"/>
  <c r="L13" i="23" s="1"/>
  <c r="L14" i="23" s="1"/>
  <c r="N59" i="1"/>
  <c r="I87" i="1"/>
  <c r="D86" i="1"/>
  <c r="D83" i="1"/>
  <c r="D88" i="1"/>
  <c r="D89" i="1"/>
  <c r="D51" i="1"/>
  <c r="D50" i="1"/>
  <c r="D55" i="1"/>
  <c r="D52" i="1"/>
  <c r="D49" i="1"/>
  <c r="I49" i="1"/>
  <c r="I50" i="1"/>
  <c r="I51" i="1"/>
  <c r="I55" i="1"/>
  <c r="I53" i="1"/>
  <c r="I54" i="1"/>
  <c r="I84" i="1"/>
  <c r="I83" i="1"/>
  <c r="I86" i="1"/>
  <c r="I89" i="1"/>
  <c r="N83" i="1"/>
  <c r="N87" i="1"/>
  <c r="K65" i="1"/>
  <c r="K97" i="1" s="1"/>
  <c r="AM1" i="7"/>
  <c r="M3" i="7"/>
  <c r="M5" i="7"/>
  <c r="AM6" i="7"/>
  <c r="L7" i="2"/>
  <c r="L10" i="2" s="1"/>
  <c r="L14" i="2" s="1"/>
  <c r="L25" i="2" s="1"/>
  <c r="E9" i="18"/>
  <c r="L5" i="14"/>
  <c r="K19" i="19"/>
  <c r="E60" i="19"/>
  <c r="R16" i="24"/>
  <c r="T16" i="24" s="1"/>
  <c r="D71" i="19"/>
  <c r="N41" i="1"/>
  <c r="M1" i="7"/>
  <c r="AM2" i="7"/>
  <c r="D7" i="1"/>
  <c r="V22" i="26"/>
  <c r="C20" i="26"/>
  <c r="D20" i="26" s="1"/>
  <c r="O19" i="26"/>
  <c r="C19" i="26"/>
  <c r="D19" i="26" s="1"/>
  <c r="H18" i="26"/>
  <c r="C18" i="26"/>
  <c r="D18" i="26" s="1"/>
  <c r="V25" i="26"/>
  <c r="C23" i="26"/>
  <c r="D23" i="26" s="1"/>
  <c r="H21" i="26"/>
  <c r="C21" i="26"/>
  <c r="D21" i="26" s="1"/>
  <c r="L6" i="19"/>
  <c r="I8" i="26"/>
  <c r="B9" i="26"/>
  <c r="D9" i="26" s="1"/>
  <c r="I6" i="26"/>
  <c r="B7" i="26"/>
  <c r="D7" i="26" s="1"/>
  <c r="O21" i="26"/>
  <c r="D22" i="19"/>
  <c r="K4" i="19"/>
  <c r="L4" i="19" s="1"/>
  <c r="Y27" i="19"/>
  <c r="K8" i="19" s="1"/>
  <c r="D74" i="19"/>
  <c r="R22" i="19"/>
  <c r="Y27" i="18"/>
  <c r="D8" i="18" s="1"/>
  <c r="E8" i="18" s="1"/>
  <c r="N81" i="1"/>
  <c r="N82" i="1" s="1"/>
  <c r="J9" i="24"/>
  <c r="L9" i="24" s="1"/>
  <c r="L10" i="24" s="1"/>
  <c r="C18" i="17"/>
  <c r="J60" i="17"/>
  <c r="C21" i="17"/>
  <c r="J21" i="17"/>
  <c r="J63" i="17"/>
  <c r="K20" i="12"/>
  <c r="S20" i="12"/>
  <c r="K17" i="13"/>
  <c r="S19" i="12"/>
  <c r="S21" i="12"/>
  <c r="K23" i="12"/>
  <c r="S23" i="12"/>
  <c r="K16" i="13"/>
  <c r="S18" i="12"/>
  <c r="D20" i="12"/>
  <c r="F5" i="14"/>
  <c r="D9" i="14"/>
  <c r="N47" i="1"/>
  <c r="N48" i="1" s="1"/>
  <c r="I81" i="1"/>
  <c r="I82" i="1" s="1"/>
  <c r="T13" i="24"/>
  <c r="D47" i="1"/>
  <c r="D48" i="1" s="1"/>
  <c r="L13" i="2"/>
  <c r="I14" i="1"/>
  <c r="I15" i="1" s="1"/>
  <c r="K13" i="4"/>
  <c r="K14" i="4"/>
  <c r="K14" i="3"/>
  <c r="K13" i="3"/>
  <c r="R9" i="2"/>
  <c r="T9" i="2" s="1"/>
  <c r="G74" i="1"/>
  <c r="I74" i="1" s="1"/>
  <c r="L74" i="1"/>
  <c r="N74" i="1" s="1"/>
  <c r="B40" i="1"/>
  <c r="D40" i="1" s="1"/>
  <c r="B74" i="1"/>
  <c r="D74" i="1" s="1"/>
  <c r="R7" i="2"/>
  <c r="T7" i="2" s="1"/>
  <c r="T10" i="2" s="1"/>
  <c r="D82" i="1"/>
  <c r="G7" i="1"/>
  <c r="I7" i="1" s="1"/>
  <c r="G40" i="1"/>
  <c r="I40" i="1" s="1"/>
  <c r="V23" i="26"/>
  <c r="F8" i="27"/>
  <c r="D8" i="17"/>
  <c r="E6" i="14"/>
  <c r="K21" i="14"/>
  <c r="D21" i="13"/>
  <c r="D18" i="15"/>
  <c r="K18" i="15"/>
  <c r="L9" i="15"/>
  <c r="D20" i="15"/>
  <c r="E9" i="15"/>
  <c r="K20" i="15"/>
  <c r="L7" i="13"/>
  <c r="C6" i="13"/>
  <c r="E6" i="13" s="1"/>
  <c r="L8" i="12"/>
  <c r="J32" i="15"/>
  <c r="F23" i="11"/>
  <c r="G23" i="11" s="1"/>
  <c r="F19" i="11"/>
  <c r="G19" i="11" s="1"/>
  <c r="I23" i="4"/>
  <c r="F22" i="11"/>
  <c r="G22" i="11" s="1"/>
  <c r="B31" i="1"/>
  <c r="F20" i="11"/>
  <c r="G20" i="11" s="1"/>
  <c r="C33" i="19"/>
  <c r="O20" i="26"/>
  <c r="R17" i="15"/>
  <c r="Y26" i="15"/>
  <c r="K8" i="15" s="1"/>
  <c r="D17" i="15"/>
  <c r="C65" i="17"/>
  <c r="C20" i="17"/>
  <c r="L9" i="17"/>
  <c r="J19" i="17"/>
  <c r="C61" i="17"/>
  <c r="J20" i="17"/>
  <c r="J61" i="17"/>
  <c r="C62" i="17"/>
  <c r="C4" i="17"/>
  <c r="Q27" i="17"/>
  <c r="J4" i="17"/>
  <c r="J23" i="17"/>
  <c r="J65" i="17"/>
  <c r="R19" i="15"/>
  <c r="H23" i="26"/>
  <c r="D4" i="15"/>
  <c r="F4" i="15" s="1"/>
  <c r="H19" i="26"/>
  <c r="D19" i="15"/>
  <c r="K4" i="15"/>
  <c r="M4" i="15" s="1"/>
  <c r="H20" i="26"/>
  <c r="D4" i="18"/>
  <c r="R26" i="21"/>
  <c r="D4" i="20"/>
  <c r="R26" i="20"/>
  <c r="F7" i="20" s="1"/>
  <c r="E7" i="20"/>
  <c r="D59" i="19"/>
  <c r="K18" i="19"/>
  <c r="D70" i="19"/>
  <c r="D52" i="19"/>
  <c r="R18" i="19"/>
  <c r="Q33" i="19"/>
  <c r="R4" i="19"/>
  <c r="C86" i="19"/>
  <c r="S8" i="13"/>
  <c r="X4" i="26"/>
  <c r="W12" i="26"/>
  <c r="H4" i="26"/>
  <c r="AJ29" i="26"/>
  <c r="V21" i="26"/>
  <c r="O23" i="26"/>
  <c r="P9" i="26"/>
  <c r="O18" i="26"/>
  <c r="O4" i="26"/>
  <c r="O12" i="26" s="1"/>
  <c r="V20" i="26"/>
  <c r="D4" i="27"/>
  <c r="D10" i="27" s="1"/>
  <c r="Y26" i="27"/>
  <c r="D22" i="15"/>
  <c r="R4" i="15"/>
  <c r="R12" i="15" s="1"/>
  <c r="K22" i="15"/>
  <c r="T9" i="15"/>
  <c r="D4" i="14"/>
  <c r="E4" i="14" s="1"/>
  <c r="K20" i="14"/>
  <c r="K23" i="14"/>
  <c r="E5" i="14"/>
  <c r="K18" i="14"/>
  <c r="E7" i="14"/>
  <c r="L6" i="14"/>
  <c r="K4" i="14"/>
  <c r="M4" i="14" s="1"/>
  <c r="J32" i="14"/>
  <c r="L7" i="14"/>
  <c r="Y26" i="14"/>
  <c r="K8" i="14" s="1"/>
  <c r="M8" i="14" s="1"/>
  <c r="D19" i="14"/>
  <c r="K9" i="14"/>
  <c r="M9" i="14" s="1"/>
  <c r="D18" i="13"/>
  <c r="D17" i="13"/>
  <c r="Y25" i="13"/>
  <c r="D7" i="13" s="1"/>
  <c r="R4" i="13"/>
  <c r="T4" i="13" s="1"/>
  <c r="D4" i="13"/>
  <c r="E8" i="13"/>
  <c r="D18" i="12"/>
  <c r="D23" i="12"/>
  <c r="K18" i="12"/>
  <c r="K4" i="12"/>
  <c r="M4" i="12" s="1"/>
  <c r="D19" i="12"/>
  <c r="K19" i="13"/>
  <c r="K21" i="13"/>
  <c r="E9" i="12"/>
  <c r="K19" i="12"/>
  <c r="W34" i="12"/>
  <c r="M8" i="12" s="1"/>
  <c r="D21" i="12"/>
  <c r="D4" i="12"/>
  <c r="E4" i="12" s="1"/>
  <c r="K21" i="12"/>
  <c r="K18" i="13"/>
  <c r="K4" i="13"/>
  <c r="K10" i="13" s="1"/>
  <c r="E3" i="7"/>
  <c r="E6" i="7" s="1"/>
  <c r="Q2" i="7"/>
  <c r="Q5" i="7" s="1"/>
  <c r="K3" i="7"/>
  <c r="K4" i="7" s="1"/>
  <c r="I2" i="7"/>
  <c r="I4" i="7" s="1"/>
  <c r="AC3" i="7"/>
  <c r="AC6" i="7" s="1"/>
  <c r="AO2" i="7"/>
  <c r="AO4" i="7" s="1"/>
  <c r="AQ2" i="7"/>
  <c r="AQ5" i="7" s="1"/>
  <c r="U2" i="7"/>
  <c r="AE3" i="7"/>
  <c r="AE5" i="7" s="1"/>
  <c r="AA2" i="7"/>
  <c r="S3" i="7" l="1"/>
  <c r="S6" i="7" s="1"/>
  <c r="G3" i="7"/>
  <c r="G4" i="7" s="1"/>
  <c r="O2" i="7"/>
  <c r="O4" i="7" s="1"/>
  <c r="Y2" i="7"/>
  <c r="Y4" i="7" s="1"/>
  <c r="AK2" i="7"/>
  <c r="AK5" i="7" s="1"/>
  <c r="O14" i="23" s="1"/>
  <c r="J17" i="23" s="1"/>
  <c r="L17" i="23" s="1"/>
  <c r="N89" i="1"/>
  <c r="N88" i="1"/>
  <c r="N60" i="1"/>
  <c r="N61" i="1" s="1"/>
  <c r="N62" i="1" s="1"/>
  <c r="N64" i="1" s="1"/>
  <c r="N65" i="1" s="1"/>
  <c r="N84" i="1"/>
  <c r="D18" i="17"/>
  <c r="D15" i="1"/>
  <c r="D26" i="1" s="1"/>
  <c r="D27" i="1" s="1"/>
  <c r="D28" i="1" s="1"/>
  <c r="D30" i="1" s="1"/>
  <c r="D31" i="1" s="1"/>
  <c r="W2" i="7"/>
  <c r="W6" i="7" s="1"/>
  <c r="AG2" i="7"/>
  <c r="AG4" i="7" s="1"/>
  <c r="N85" i="1"/>
  <c r="N91" i="1" s="1"/>
  <c r="N92" i="1" s="1"/>
  <c r="N93" i="1" s="1"/>
  <c r="N94" i="1" s="1"/>
  <c r="N96" i="1" s="1"/>
  <c r="N97" i="1" s="1"/>
  <c r="F16" i="11" s="1"/>
  <c r="G16" i="11" s="1"/>
  <c r="L13" i="24"/>
  <c r="L14" i="24" s="1"/>
  <c r="L25" i="24" s="1"/>
  <c r="I26" i="1"/>
  <c r="I27" i="1" s="1"/>
  <c r="I28" i="1" s="1"/>
  <c r="I30" i="1" s="1"/>
  <c r="I31" i="1" s="1"/>
  <c r="I59" i="1"/>
  <c r="I60" i="1" s="1"/>
  <c r="I61" i="1" s="1"/>
  <c r="I62" i="1" s="1"/>
  <c r="I64" i="1" s="1"/>
  <c r="I65" i="1" s="1"/>
  <c r="I91" i="1"/>
  <c r="I92" i="1" s="1"/>
  <c r="I93" i="1" s="1"/>
  <c r="I94" i="1" s="1"/>
  <c r="I96" i="1" s="1"/>
  <c r="I97" i="1" s="1"/>
  <c r="D59" i="1"/>
  <c r="D60" i="1" s="1"/>
  <c r="D61" i="1" s="1"/>
  <c r="D62" i="1" s="1"/>
  <c r="D64" i="1" s="1"/>
  <c r="D91" i="1"/>
  <c r="D92" i="1" s="1"/>
  <c r="D93" i="1" s="1"/>
  <c r="D94" i="1" s="1"/>
  <c r="D96" i="1" s="1"/>
  <c r="D12" i="26"/>
  <c r="D15" i="26" s="1"/>
  <c r="D16" i="26" s="1"/>
  <c r="D25" i="26"/>
  <c r="K11" i="19"/>
  <c r="R8" i="19"/>
  <c r="T9" i="19" s="1"/>
  <c r="T4" i="19"/>
  <c r="R11" i="19"/>
  <c r="S20" i="19" s="1"/>
  <c r="M4" i="19"/>
  <c r="F8" i="18"/>
  <c r="E4" i="15"/>
  <c r="J4" i="26"/>
  <c r="H12" i="26"/>
  <c r="E4" i="20"/>
  <c r="E9" i="20" s="1"/>
  <c r="E12" i="20" s="1"/>
  <c r="D9" i="20"/>
  <c r="E19" i="20" s="1"/>
  <c r="F4" i="18"/>
  <c r="D10" i="18"/>
  <c r="E15" i="18" s="1"/>
  <c r="O65" i="1"/>
  <c r="F13" i="11"/>
  <c r="G13" i="11" s="1"/>
  <c r="D12" i="14"/>
  <c r="E20" i="14" s="1"/>
  <c r="T14" i="24"/>
  <c r="T25" i="24" s="1"/>
  <c r="O13" i="24"/>
  <c r="O14" i="24" s="1"/>
  <c r="O25" i="24" s="1"/>
  <c r="F10" i="11"/>
  <c r="G10" i="11" s="1"/>
  <c r="J31" i="1"/>
  <c r="T13" i="2"/>
  <c r="O10" i="2"/>
  <c r="O14" i="2" s="1"/>
  <c r="O25" i="2" s="1"/>
  <c r="L27" i="2"/>
  <c r="L28" i="2" s="1"/>
  <c r="L29" i="2" s="1"/>
  <c r="L26" i="2"/>
  <c r="F4" i="27"/>
  <c r="K4" i="17"/>
  <c r="J12" i="17"/>
  <c r="K20" i="17" s="1"/>
  <c r="D4" i="17"/>
  <c r="C12" i="17"/>
  <c r="D21" i="17" s="1"/>
  <c r="D8" i="15"/>
  <c r="D12" i="15" s="1"/>
  <c r="E20" i="15" s="1"/>
  <c r="K12" i="15"/>
  <c r="L20" i="15" s="1"/>
  <c r="L4" i="15"/>
  <c r="L4" i="12"/>
  <c r="B65" i="1"/>
  <c r="R7" i="13"/>
  <c r="T8" i="13" s="1"/>
  <c r="E4" i="17"/>
  <c r="L4" i="17"/>
  <c r="K65" i="17"/>
  <c r="L47" i="17"/>
  <c r="K47" i="17"/>
  <c r="K54" i="17" s="1"/>
  <c r="F4" i="20"/>
  <c r="W4" i="26"/>
  <c r="E4" i="18"/>
  <c r="F4" i="14"/>
  <c r="I4" i="26"/>
  <c r="I12" i="26" s="1"/>
  <c r="L8" i="19"/>
  <c r="L11" i="19" s="1"/>
  <c r="L14" i="19" s="1"/>
  <c r="L15" i="19" s="1"/>
  <c r="M9" i="19"/>
  <c r="E59" i="19"/>
  <c r="F59" i="19"/>
  <c r="D63" i="19"/>
  <c r="E70" i="19" s="1"/>
  <c r="F52" i="19"/>
  <c r="E52" i="19"/>
  <c r="S4" i="19"/>
  <c r="L16" i="19"/>
  <c r="L21" i="19"/>
  <c r="L17" i="19"/>
  <c r="L18" i="19"/>
  <c r="L19" i="19"/>
  <c r="L20" i="19"/>
  <c r="L22" i="19"/>
  <c r="P18" i="26"/>
  <c r="X13" i="26"/>
  <c r="V14" i="26"/>
  <c r="W20" i="26" s="1"/>
  <c r="P4" i="26"/>
  <c r="P12" i="26" s="1"/>
  <c r="Q4" i="26"/>
  <c r="E17" i="27"/>
  <c r="E4" i="27"/>
  <c r="E10" i="27" s="1"/>
  <c r="S4" i="15"/>
  <c r="S12" i="15" s="1"/>
  <c r="T4" i="15"/>
  <c r="E8" i="15"/>
  <c r="E16" i="15"/>
  <c r="E18" i="15"/>
  <c r="F19" i="15" s="1"/>
  <c r="M8" i="15"/>
  <c r="L8" i="15"/>
  <c r="T8" i="15"/>
  <c r="L4" i="14"/>
  <c r="L9" i="14"/>
  <c r="L8" i="14"/>
  <c r="K12" i="14"/>
  <c r="E9" i="14"/>
  <c r="F9" i="14"/>
  <c r="S4" i="13"/>
  <c r="F8" i="13"/>
  <c r="E7" i="13"/>
  <c r="F4" i="13"/>
  <c r="D11" i="13"/>
  <c r="E4" i="13"/>
  <c r="D12" i="12"/>
  <c r="F4" i="12"/>
  <c r="L4" i="13"/>
  <c r="L10" i="13" s="1"/>
  <c r="M4" i="13"/>
  <c r="L7" i="12"/>
  <c r="K12" i="12"/>
  <c r="E5" i="7"/>
  <c r="P12" i="3" s="1"/>
  <c r="I16" i="3" s="1"/>
  <c r="K16" i="3" s="1"/>
  <c r="E4" i="7"/>
  <c r="Q6" i="7"/>
  <c r="AC4" i="7"/>
  <c r="AC5" i="7"/>
  <c r="K6" i="7"/>
  <c r="AO5" i="7"/>
  <c r="I6" i="7"/>
  <c r="I5" i="7"/>
  <c r="Q4" i="7"/>
  <c r="K5" i="7"/>
  <c r="AO6" i="7"/>
  <c r="AQ4" i="7"/>
  <c r="AQ6" i="7"/>
  <c r="U4" i="7"/>
  <c r="U6" i="7"/>
  <c r="U5" i="7"/>
  <c r="AA4" i="7"/>
  <c r="AA6" i="7"/>
  <c r="AA5" i="7"/>
  <c r="AE4" i="7"/>
  <c r="AE6" i="7"/>
  <c r="G5" i="7" l="1"/>
  <c r="S5" i="7"/>
  <c r="S4" i="7"/>
  <c r="O5" i="7"/>
  <c r="O6" i="7"/>
  <c r="E12" i="15"/>
  <c r="E14" i="15" s="1"/>
  <c r="Y6" i="7"/>
  <c r="AK4" i="7"/>
  <c r="P13" i="3"/>
  <c r="K17" i="3" s="1"/>
  <c r="L16" i="3" s="1"/>
  <c r="G6" i="7"/>
  <c r="O14" i="4"/>
  <c r="I17" i="4" s="1"/>
  <c r="K17" i="4" s="1"/>
  <c r="Y5" i="7"/>
  <c r="AG6" i="7"/>
  <c r="W5" i="7"/>
  <c r="W4" i="7"/>
  <c r="AG5" i="7"/>
  <c r="AK6" i="7"/>
  <c r="S19" i="19"/>
  <c r="E19" i="18"/>
  <c r="S21" i="19"/>
  <c r="S8" i="19"/>
  <c r="D22" i="17"/>
  <c r="D23" i="17"/>
  <c r="D19" i="17"/>
  <c r="D17" i="17"/>
  <c r="D20" i="17"/>
  <c r="L26" i="24"/>
  <c r="L27" i="24" s="1"/>
  <c r="L28" i="24" s="1"/>
  <c r="L29" i="24" s="1"/>
  <c r="O46" i="25" s="1"/>
  <c r="Q46" i="25" s="1"/>
  <c r="O26" i="24"/>
  <c r="O27" i="24" s="1"/>
  <c r="O28" i="24" s="1"/>
  <c r="O29" i="24" s="1"/>
  <c r="F15" i="11"/>
  <c r="G15" i="11" s="1"/>
  <c r="J97" i="1"/>
  <c r="S18" i="19"/>
  <c r="T18" i="19" s="1"/>
  <c r="S17" i="19"/>
  <c r="F12" i="11"/>
  <c r="G12" i="11" s="1"/>
  <c r="J65" i="1"/>
  <c r="S16" i="19"/>
  <c r="S22" i="19"/>
  <c r="O97" i="1"/>
  <c r="D26" i="26"/>
  <c r="D27" i="26" s="1"/>
  <c r="D28" i="26" s="1"/>
  <c r="D29" i="26" s="1"/>
  <c r="D30" i="26" s="1"/>
  <c r="D36" i="26" s="1"/>
  <c r="E18" i="18"/>
  <c r="E20" i="18"/>
  <c r="E17" i="18"/>
  <c r="E16" i="18"/>
  <c r="E21" i="18"/>
  <c r="L17" i="15"/>
  <c r="E10" i="18"/>
  <c r="E13" i="18" s="1"/>
  <c r="E14" i="18" s="1"/>
  <c r="K12" i="17"/>
  <c r="K15" i="17" s="1"/>
  <c r="K16" i="17" s="1"/>
  <c r="D12" i="17"/>
  <c r="D15" i="17" s="1"/>
  <c r="D16" i="17" s="1"/>
  <c r="K17" i="17"/>
  <c r="K19" i="17"/>
  <c r="K21" i="17"/>
  <c r="K22" i="17"/>
  <c r="K23" i="17"/>
  <c r="K18" i="17"/>
  <c r="E21" i="15"/>
  <c r="F9" i="15"/>
  <c r="E22" i="15"/>
  <c r="R10" i="13"/>
  <c r="V29" i="2"/>
  <c r="F7" i="11"/>
  <c r="G7" i="11" s="1"/>
  <c r="T26" i="24"/>
  <c r="T27" i="24" s="1"/>
  <c r="T28" i="24" s="1"/>
  <c r="T29" i="24" s="1"/>
  <c r="E63" i="19"/>
  <c r="O26" i="2"/>
  <c r="O27" i="2"/>
  <c r="O28" i="2" s="1"/>
  <c r="O29" i="2" s="1"/>
  <c r="T14" i="2"/>
  <c r="T25" i="2" s="1"/>
  <c r="O13" i="2"/>
  <c r="L12" i="12"/>
  <c r="L15" i="12" s="1"/>
  <c r="E17" i="14"/>
  <c r="L12" i="14"/>
  <c r="L15" i="14" s="1"/>
  <c r="L16" i="14" s="1"/>
  <c r="E19" i="14"/>
  <c r="F8" i="14"/>
  <c r="L21" i="15"/>
  <c r="L18" i="15"/>
  <c r="M18" i="15" s="1"/>
  <c r="E17" i="15"/>
  <c r="E19" i="15"/>
  <c r="L22" i="15"/>
  <c r="L16" i="15"/>
  <c r="L19" i="15"/>
  <c r="L12" i="15"/>
  <c r="L14" i="15" s="1"/>
  <c r="L15" i="15" s="1"/>
  <c r="S7" i="13"/>
  <c r="S10" i="13" s="1"/>
  <c r="S13" i="13" s="1"/>
  <c r="D65" i="1"/>
  <c r="B97" i="1"/>
  <c r="D97" i="1" s="1"/>
  <c r="F9" i="11"/>
  <c r="G9" i="11" s="1"/>
  <c r="E31" i="1"/>
  <c r="K57" i="17"/>
  <c r="K58" i="17" s="1"/>
  <c r="K59" i="17"/>
  <c r="K60" i="17"/>
  <c r="K61" i="17"/>
  <c r="K62" i="17"/>
  <c r="K64" i="17"/>
  <c r="K63" i="17"/>
  <c r="I15" i="26"/>
  <c r="I16" i="26" s="1"/>
  <c r="L16" i="13"/>
  <c r="M8" i="13"/>
  <c r="S11" i="19"/>
  <c r="S14" i="19" s="1"/>
  <c r="S15" i="19" s="1"/>
  <c r="E22" i="14"/>
  <c r="E14" i="20"/>
  <c r="E15" i="20"/>
  <c r="W14" i="26"/>
  <c r="W17" i="26" s="1"/>
  <c r="W18" i="26" s="1"/>
  <c r="E18" i="14"/>
  <c r="J9" i="26"/>
  <c r="E13" i="27"/>
  <c r="E14" i="27" s="1"/>
  <c r="E16" i="20"/>
  <c r="E17" i="20"/>
  <c r="E20" i="20"/>
  <c r="E18" i="20"/>
  <c r="E13" i="20"/>
  <c r="E66" i="19"/>
  <c r="E67" i="19" s="1"/>
  <c r="E77" i="19"/>
  <c r="E68" i="19"/>
  <c r="E76" i="19"/>
  <c r="E72" i="19"/>
  <c r="F70" i="19" s="1"/>
  <c r="E75" i="19"/>
  <c r="E73" i="19"/>
  <c r="E71" i="19"/>
  <c r="E69" i="19"/>
  <c r="E74" i="19"/>
  <c r="M18" i="19"/>
  <c r="L24" i="19"/>
  <c r="L25" i="19" s="1"/>
  <c r="L26" i="19" s="1"/>
  <c r="L27" i="19" s="1"/>
  <c r="S14" i="15"/>
  <c r="S15" i="15" s="1"/>
  <c r="Q9" i="26"/>
  <c r="P15" i="26"/>
  <c r="P16" i="26" s="1"/>
  <c r="I17" i="26"/>
  <c r="I20" i="26"/>
  <c r="I22" i="26"/>
  <c r="I23" i="26"/>
  <c r="I21" i="26"/>
  <c r="I18" i="26"/>
  <c r="I19" i="26"/>
  <c r="P22" i="26"/>
  <c r="P20" i="26"/>
  <c r="P19" i="26"/>
  <c r="P21" i="26"/>
  <c r="P17" i="26"/>
  <c r="P23" i="26"/>
  <c r="W24" i="26"/>
  <c r="W22" i="26"/>
  <c r="W19" i="26"/>
  <c r="W21" i="26"/>
  <c r="W25" i="26"/>
  <c r="W23" i="26"/>
  <c r="E19" i="27"/>
  <c r="F17" i="27" s="1"/>
  <c r="E16" i="27"/>
  <c r="E18" i="27"/>
  <c r="E15" i="27"/>
  <c r="F17" i="18"/>
  <c r="E15" i="15"/>
  <c r="S17" i="15"/>
  <c r="S21" i="15"/>
  <c r="S20" i="15"/>
  <c r="S16" i="15"/>
  <c r="S19" i="15"/>
  <c r="S18" i="15"/>
  <c r="S22" i="15"/>
  <c r="E23" i="14"/>
  <c r="E21" i="14"/>
  <c r="L23" i="14"/>
  <c r="L17" i="14"/>
  <c r="L22" i="14"/>
  <c r="L20" i="14"/>
  <c r="L18" i="14"/>
  <c r="L19" i="14"/>
  <c r="L21" i="14"/>
  <c r="E12" i="14"/>
  <c r="E15" i="14" s="1"/>
  <c r="E16" i="14" s="1"/>
  <c r="E11" i="13"/>
  <c r="E18" i="13"/>
  <c r="E20" i="13"/>
  <c r="E17" i="13"/>
  <c r="E19" i="13"/>
  <c r="E16" i="13"/>
  <c r="E21" i="13"/>
  <c r="L21" i="12"/>
  <c r="E21" i="12"/>
  <c r="E8" i="12"/>
  <c r="E12" i="12" s="1"/>
  <c r="E15" i="12" s="1"/>
  <c r="E16" i="12" s="1"/>
  <c r="F8" i="12"/>
  <c r="L13" i="13"/>
  <c r="L14" i="13" s="1"/>
  <c r="L19" i="12"/>
  <c r="E17" i="12"/>
  <c r="L23" i="12"/>
  <c r="E19" i="12"/>
  <c r="E18" i="12"/>
  <c r="L17" i="12"/>
  <c r="E22" i="12"/>
  <c r="E20" i="12"/>
  <c r="E23" i="12"/>
  <c r="L20" i="12"/>
  <c r="L22" i="12"/>
  <c r="L18" i="12"/>
  <c r="O13" i="4"/>
  <c r="I16" i="4" s="1"/>
  <c r="K16" i="4" s="1"/>
  <c r="K19" i="4" s="1"/>
  <c r="K20" i="4" s="1"/>
  <c r="K21" i="4" s="1"/>
  <c r="K22" i="4" s="1"/>
  <c r="K23" i="4" s="1"/>
  <c r="L23" i="4" s="1"/>
  <c r="O13" i="23"/>
  <c r="J16" i="23" s="1"/>
  <c r="L16" i="23" s="1"/>
  <c r="M16" i="23" s="1"/>
  <c r="K19" i="3"/>
  <c r="K20" i="3" s="1"/>
  <c r="K21" i="3" s="1"/>
  <c r="K22" i="3" s="1"/>
  <c r="K23" i="3" s="1"/>
  <c r="L28" i="19" l="1"/>
  <c r="L29" i="19" s="1"/>
  <c r="L32" i="19" s="1"/>
  <c r="L33" i="19" s="1"/>
  <c r="O27" i="25"/>
  <c r="Q27" i="25" s="1"/>
  <c r="E23" i="18"/>
  <c r="S24" i="19"/>
  <c r="S25" i="19" s="1"/>
  <c r="S26" i="19" s="1"/>
  <c r="S27" i="19" s="1"/>
  <c r="S28" i="19" s="1"/>
  <c r="S29" i="19" s="1"/>
  <c r="S32" i="19" s="1"/>
  <c r="S33" i="19" s="1"/>
  <c r="D33" i="26"/>
  <c r="D35" i="26" s="1"/>
  <c r="O40" i="25"/>
  <c r="Q40" i="25" s="1"/>
  <c r="E24" i="18"/>
  <c r="E25" i="18" s="1"/>
  <c r="E26" i="18" s="1"/>
  <c r="D25" i="17"/>
  <c r="D26" i="17" s="1"/>
  <c r="D27" i="17" s="1"/>
  <c r="D28" i="17" s="1"/>
  <c r="D29" i="17" s="1"/>
  <c r="D30" i="17" s="1"/>
  <c r="E19" i="17"/>
  <c r="L19" i="17"/>
  <c r="K25" i="17"/>
  <c r="K26" i="17" s="1"/>
  <c r="K27" i="17" s="1"/>
  <c r="K28" i="17" s="1"/>
  <c r="L16" i="12"/>
  <c r="E24" i="15"/>
  <c r="E25" i="15" s="1"/>
  <c r="E26" i="15" s="1"/>
  <c r="E27" i="15" s="1"/>
  <c r="E28" i="15" s="1"/>
  <c r="E14" i="13"/>
  <c r="E15" i="13" s="1"/>
  <c r="T26" i="2"/>
  <c r="T27" i="2"/>
  <c r="T28" i="2" s="1"/>
  <c r="T29" i="2" s="1"/>
  <c r="L24" i="15"/>
  <c r="L25" i="15" s="1"/>
  <c r="L26" i="15" s="1"/>
  <c r="L27" i="15" s="1"/>
  <c r="L31" i="15" s="1"/>
  <c r="L32" i="15" s="1"/>
  <c r="F19" i="12"/>
  <c r="M19" i="12"/>
  <c r="E97" i="1"/>
  <c r="F14" i="11"/>
  <c r="G14" i="11" s="1"/>
  <c r="E65" i="1"/>
  <c r="F11" i="11"/>
  <c r="G11" i="11" s="1"/>
  <c r="L17" i="13"/>
  <c r="L19" i="13"/>
  <c r="S20" i="13"/>
  <c r="S18" i="13"/>
  <c r="L18" i="13"/>
  <c r="S16" i="13"/>
  <c r="S21" i="13"/>
  <c r="L20" i="13"/>
  <c r="L15" i="13"/>
  <c r="L21" i="13"/>
  <c r="S15" i="13"/>
  <c r="S19" i="13"/>
  <c r="S17" i="13"/>
  <c r="L61" i="17"/>
  <c r="K67" i="17"/>
  <c r="K68" i="17" s="1"/>
  <c r="K69" i="17" s="1"/>
  <c r="K70" i="17" s="1"/>
  <c r="K71" i="17" s="1"/>
  <c r="K72" i="17" s="1"/>
  <c r="K75" i="17" s="1"/>
  <c r="K76" i="17" s="1"/>
  <c r="K78" i="17" s="1"/>
  <c r="E25" i="14"/>
  <c r="E26" i="14" s="1"/>
  <c r="E27" i="14" s="1"/>
  <c r="E28" i="14" s="1"/>
  <c r="E29" i="14" s="1"/>
  <c r="E30" i="14" s="1"/>
  <c r="E36" i="14" s="1"/>
  <c r="F16" i="20"/>
  <c r="F19" i="14"/>
  <c r="E22" i="20"/>
  <c r="E23" i="20" s="1"/>
  <c r="E24" i="20" s="1"/>
  <c r="E25" i="20" s="1"/>
  <c r="E79" i="19"/>
  <c r="E80" i="19" s="1"/>
  <c r="E81" i="19" s="1"/>
  <c r="E82" i="19" s="1"/>
  <c r="E85" i="19" s="1"/>
  <c r="E86" i="19" s="1"/>
  <c r="T18" i="15"/>
  <c r="J20" i="26"/>
  <c r="P25" i="26"/>
  <c r="P26" i="26" s="1"/>
  <c r="P27" i="26" s="1"/>
  <c r="P28" i="26" s="1"/>
  <c r="Q19" i="26"/>
  <c r="X21" i="26"/>
  <c r="W27" i="26"/>
  <c r="W28" i="26" s="1"/>
  <c r="W29" i="26" s="1"/>
  <c r="W30" i="26" s="1"/>
  <c r="W31" i="26" s="1"/>
  <c r="W32" i="26" s="1"/>
  <c r="W34" i="26" s="1"/>
  <c r="W35" i="26" s="1"/>
  <c r="W37" i="26" s="1"/>
  <c r="I25" i="26"/>
  <c r="I26" i="26" s="1"/>
  <c r="I27" i="26" s="1"/>
  <c r="I28" i="26" s="1"/>
  <c r="I29" i="26" s="1"/>
  <c r="I30" i="26" s="1"/>
  <c r="E21" i="27"/>
  <c r="E22" i="27" s="1"/>
  <c r="E23" i="27" s="1"/>
  <c r="E24" i="27" s="1"/>
  <c r="S24" i="15"/>
  <c r="S25" i="15" s="1"/>
  <c r="S26" i="15" s="1"/>
  <c r="S27" i="15" s="1"/>
  <c r="L25" i="14"/>
  <c r="L26" i="14" s="1"/>
  <c r="L27" i="14" s="1"/>
  <c r="L28" i="14" s="1"/>
  <c r="M19" i="14"/>
  <c r="S14" i="13"/>
  <c r="E23" i="13"/>
  <c r="F19" i="13"/>
  <c r="L25" i="12"/>
  <c r="E25" i="12"/>
  <c r="E26" i="12" s="1"/>
  <c r="E27" i="12" s="1"/>
  <c r="E28" i="12" s="1"/>
  <c r="E29" i="12" s="1"/>
  <c r="E30" i="12" s="1"/>
  <c r="E35" i="12" s="1"/>
  <c r="L16" i="4"/>
  <c r="L19" i="23"/>
  <c r="F5" i="11"/>
  <c r="G5" i="11" s="1"/>
  <c r="L23" i="3"/>
  <c r="F6" i="11"/>
  <c r="G6" i="11" s="1"/>
  <c r="S40" i="19" l="1"/>
  <c r="S35" i="19"/>
  <c r="L20" i="23"/>
  <c r="L21" i="23" s="1"/>
  <c r="I32" i="26"/>
  <c r="I33" i="26" s="1"/>
  <c r="I35" i="26" s="1"/>
  <c r="D39" i="26"/>
  <c r="D38" i="26"/>
  <c r="D40" i="26"/>
  <c r="D37" i="26"/>
  <c r="E26" i="20"/>
  <c r="E27" i="20" s="1"/>
  <c r="E29" i="20" s="1"/>
  <c r="E30" i="20" s="1"/>
  <c r="E32" i="20" s="1"/>
  <c r="O14" i="25"/>
  <c r="Q14" i="25" s="1"/>
  <c r="E33" i="14"/>
  <c r="E34" i="14" s="1"/>
  <c r="E25" i="27"/>
  <c r="E26" i="27" s="1"/>
  <c r="E29" i="27" s="1"/>
  <c r="E33" i="27" s="1"/>
  <c r="L26" i="12"/>
  <c r="L27" i="12" s="1"/>
  <c r="L28" i="12" s="1"/>
  <c r="L29" i="12" s="1"/>
  <c r="L30" i="12" s="1"/>
  <c r="L35" i="12" s="1"/>
  <c r="P29" i="26"/>
  <c r="P30" i="26" s="1"/>
  <c r="P32" i="26" s="1"/>
  <c r="P33" i="26" s="1"/>
  <c r="P35" i="26" s="1"/>
  <c r="S36" i="19"/>
  <c r="S39" i="19"/>
  <c r="S37" i="19"/>
  <c r="S38" i="19"/>
  <c r="E27" i="18"/>
  <c r="E28" i="18" s="1"/>
  <c r="E30" i="18" s="1"/>
  <c r="E31" i="18" s="1"/>
  <c r="E33" i="18" s="1"/>
  <c r="D37" i="17"/>
  <c r="E21" i="25" s="1"/>
  <c r="D33" i="17"/>
  <c r="D34" i="17" s="1"/>
  <c r="D38" i="17" s="1"/>
  <c r="K29" i="17"/>
  <c r="K30" i="17" s="1"/>
  <c r="S28" i="15"/>
  <c r="E29" i="15"/>
  <c r="E24" i="13"/>
  <c r="E25" i="13" s="1"/>
  <c r="E26" i="13" s="1"/>
  <c r="E33" i="12"/>
  <c r="E28" i="25"/>
  <c r="E20" i="25"/>
  <c r="M16" i="13"/>
  <c r="L23" i="13"/>
  <c r="L24" i="13" s="1"/>
  <c r="L25" i="13" s="1"/>
  <c r="L26" i="13" s="1"/>
  <c r="S23" i="13"/>
  <c r="S24" i="13" s="1"/>
  <c r="S25" i="13" s="1"/>
  <c r="S26" i="13" s="1"/>
  <c r="T17" i="13"/>
  <c r="K81" i="17"/>
  <c r="K79" i="17"/>
  <c r="K80" i="17"/>
  <c r="K83" i="17"/>
  <c r="K82" i="17"/>
  <c r="E89" i="19"/>
  <c r="E92" i="19"/>
  <c r="E91" i="19"/>
  <c r="E90" i="19"/>
  <c r="E88" i="19"/>
  <c r="E93" i="19"/>
  <c r="L40" i="19"/>
  <c r="L39" i="19"/>
  <c r="L38" i="19"/>
  <c r="L37" i="19"/>
  <c r="W41" i="26"/>
  <c r="W38" i="26"/>
  <c r="W40" i="26"/>
  <c r="W42" i="26"/>
  <c r="W39" i="26"/>
  <c r="L36" i="15"/>
  <c r="E13" i="25" s="1"/>
  <c r="L37" i="15"/>
  <c r="L35" i="15"/>
  <c r="L40" i="15"/>
  <c r="L39" i="15"/>
  <c r="L38" i="15"/>
  <c r="L31" i="14"/>
  <c r="L32" i="14" s="1"/>
  <c r="L34" i="14"/>
  <c r="E37" i="20" l="1"/>
  <c r="E36" i="20"/>
  <c r="E35" i="20"/>
  <c r="K33" i="17"/>
  <c r="K34" i="17" s="1"/>
  <c r="L22" i="23"/>
  <c r="L23" i="23" s="1"/>
  <c r="O45" i="25" s="1"/>
  <c r="Q45" i="25" s="1"/>
  <c r="I37" i="26"/>
  <c r="I36" i="26"/>
  <c r="O41" i="25" s="1"/>
  <c r="Q41" i="25" s="1"/>
  <c r="I40" i="26"/>
  <c r="I39" i="26"/>
  <c r="I38" i="26"/>
  <c r="E31" i="15"/>
  <c r="E32" i="15" s="1"/>
  <c r="E34" i="15" s="1"/>
  <c r="E32" i="27"/>
  <c r="O38" i="25" s="1"/>
  <c r="Q38" i="25" s="1"/>
  <c r="O13" i="25"/>
  <c r="Q13" i="25" s="1"/>
  <c r="E12" i="25"/>
  <c r="O28" i="25"/>
  <c r="Q28" i="25" s="1"/>
  <c r="E38" i="14"/>
  <c r="E37" i="14"/>
  <c r="S29" i="15"/>
  <c r="S31" i="15" s="1"/>
  <c r="E33" i="20"/>
  <c r="E31" i="25" s="1"/>
  <c r="E34" i="20"/>
  <c r="L33" i="12"/>
  <c r="E40" i="12"/>
  <c r="E39" i="12"/>
  <c r="E38" i="12"/>
  <c r="E37" i="12"/>
  <c r="P40" i="26"/>
  <c r="P37" i="26"/>
  <c r="P36" i="26"/>
  <c r="E18" i="25" s="1"/>
  <c r="P38" i="26"/>
  <c r="P39" i="26"/>
  <c r="E34" i="18"/>
  <c r="E38" i="18"/>
  <c r="E35" i="18"/>
  <c r="E36" i="18"/>
  <c r="E37" i="18"/>
  <c r="D39" i="17"/>
  <c r="O20" i="25"/>
  <c r="Q20" i="25" s="1"/>
  <c r="D40" i="17"/>
  <c r="D41" i="17"/>
  <c r="E27" i="13"/>
  <c r="E28" i="13" s="1"/>
  <c r="S27" i="13"/>
  <c r="S28" i="13" s="1"/>
  <c r="L27" i="13"/>
  <c r="L28" i="13" s="1"/>
  <c r="L34" i="13" s="1"/>
  <c r="E4" i="25"/>
  <c r="O5" i="25"/>
  <c r="Q5" i="25" s="1"/>
  <c r="E8" i="25"/>
  <c r="O6" i="25"/>
  <c r="Q6" i="25" s="1"/>
  <c r="E19" i="25"/>
  <c r="O43" i="25"/>
  <c r="Q43" i="25" s="1"/>
  <c r="E30" i="25"/>
  <c r="O33" i="25"/>
  <c r="Q33" i="25" s="1"/>
  <c r="E24" i="25"/>
  <c r="O23" i="25"/>
  <c r="Q23" i="25" s="1"/>
  <c r="E39" i="14"/>
  <c r="E41" i="14"/>
  <c r="E40" i="14"/>
  <c r="L35" i="14"/>
  <c r="L37" i="14"/>
  <c r="L39" i="14"/>
  <c r="L36" i="14"/>
  <c r="L38" i="14"/>
  <c r="O34" i="25" l="1"/>
  <c r="Q34" i="25" s="1"/>
  <c r="K40" i="17"/>
  <c r="K36" i="17"/>
  <c r="K38" i="17"/>
  <c r="K37" i="17"/>
  <c r="E22" i="25" s="1"/>
  <c r="K41" i="17"/>
  <c r="K39" i="17"/>
  <c r="E16" i="25"/>
  <c r="E39" i="15"/>
  <c r="E36" i="15"/>
  <c r="E38" i="15"/>
  <c r="E37" i="15"/>
  <c r="E35" i="15"/>
  <c r="O17" i="25" s="1"/>
  <c r="Q17" i="25" s="1"/>
  <c r="E30" i="27"/>
  <c r="S32" i="15"/>
  <c r="S34" i="15" s="1"/>
  <c r="L39" i="12"/>
  <c r="L38" i="12"/>
  <c r="L37" i="12"/>
  <c r="L40" i="12"/>
  <c r="O42" i="25"/>
  <c r="Q42" i="25" s="1"/>
  <c r="E25" i="25"/>
  <c r="O31" i="25"/>
  <c r="Q31" i="25" s="1"/>
  <c r="S31" i="13"/>
  <c r="S32" i="13" s="1"/>
  <c r="S39" i="13" s="1"/>
  <c r="S34" i="13"/>
  <c r="L31" i="13"/>
  <c r="L32" i="13" s="1"/>
  <c r="L37" i="13" s="1"/>
  <c r="E10" i="25"/>
  <c r="E34" i="13"/>
  <c r="E31" i="13"/>
  <c r="E32" i="13" s="1"/>
  <c r="S62" i="17"/>
  <c r="S46" i="17"/>
  <c r="O21" i="25" l="1"/>
  <c r="Q21" i="25" s="1"/>
  <c r="O16" i="25"/>
  <c r="Q16" i="25" s="1"/>
  <c r="E36" i="27"/>
  <c r="E35" i="27"/>
  <c r="E34" i="27"/>
  <c r="E37" i="27"/>
  <c r="L38" i="13"/>
  <c r="S38" i="15"/>
  <c r="S39" i="15"/>
  <c r="S36" i="15"/>
  <c r="S37" i="15"/>
  <c r="S35" i="15"/>
  <c r="L39" i="13"/>
  <c r="L36" i="13"/>
  <c r="S37" i="13"/>
  <c r="O10" i="25"/>
  <c r="Q10" i="25" s="1"/>
  <c r="S35" i="13"/>
  <c r="S36" i="13"/>
  <c r="O11" i="25"/>
  <c r="Q11" i="25" s="1"/>
  <c r="E11" i="25"/>
  <c r="L35" i="13"/>
  <c r="S38" i="13"/>
  <c r="E35" i="13"/>
  <c r="E39" i="13"/>
  <c r="E36" i="13"/>
  <c r="E37" i="13"/>
  <c r="E38" i="13"/>
  <c r="E9" i="25"/>
  <c r="O9" i="25"/>
  <c r="Q9" i="25" s="1"/>
  <c r="T23" i="12"/>
  <c r="T4" i="12"/>
  <c r="T12" i="12" s="1"/>
  <c r="E15" i="25" l="1"/>
  <c r="O18" i="25"/>
  <c r="Q18" i="25" s="1"/>
  <c r="T19" i="12"/>
  <c r="T21" i="12"/>
  <c r="T20" i="12"/>
  <c r="T22" i="12"/>
  <c r="T18" i="12"/>
  <c r="T17" i="12"/>
  <c r="T15" i="12"/>
  <c r="T16" i="12" s="1"/>
  <c r="T25" i="12" l="1"/>
  <c r="T26" i="12" s="1"/>
  <c r="T27" i="12" s="1"/>
  <c r="T28" i="12" s="1"/>
  <c r="T29" i="12" l="1"/>
  <c r="T30" i="12" s="1"/>
  <c r="T32" i="12" s="1"/>
  <c r="T33" i="12" l="1"/>
  <c r="T36" i="12" s="1"/>
  <c r="O7" i="25" s="1"/>
  <c r="Q7" i="25" s="1"/>
  <c r="D51" i="17"/>
  <c r="T37" i="12" l="1"/>
  <c r="T38" i="12"/>
  <c r="T35" i="12"/>
  <c r="T40" i="12"/>
  <c r="T39" i="12"/>
  <c r="E47" i="17"/>
  <c r="C54" i="17"/>
  <c r="D60" i="17" s="1"/>
  <c r="D47" i="17"/>
  <c r="D54" i="17" s="1"/>
  <c r="D59" i="17" l="1"/>
  <c r="D61" i="17"/>
  <c r="D62" i="17"/>
  <c r="D65" i="17"/>
  <c r="D64" i="17"/>
  <c r="D63" i="17"/>
  <c r="E61" i="17" s="1"/>
  <c r="D57" i="17"/>
  <c r="D58" i="17" s="1"/>
  <c r="D67" i="17" l="1"/>
  <c r="D68" i="17" s="1"/>
  <c r="D69" i="17" s="1"/>
  <c r="D70" i="17" s="1"/>
  <c r="D71" i="17" l="1"/>
  <c r="D72" i="17" s="1"/>
  <c r="D75" i="17" s="1"/>
  <c r="D78" i="17" s="1"/>
  <c r="D76" i="17" l="1"/>
  <c r="D82" i="17" s="1"/>
  <c r="E23" i="25"/>
  <c r="O22" i="25"/>
  <c r="Q22" i="25" s="1"/>
  <c r="E8" i="19"/>
  <c r="D11" i="19"/>
  <c r="E7" i="19"/>
  <c r="F9" i="19"/>
  <c r="D80" i="17" l="1"/>
  <c r="D81" i="17"/>
  <c r="D83" i="17"/>
  <c r="E16" i="19"/>
  <c r="E22" i="19"/>
  <c r="E17" i="19"/>
  <c r="E19" i="19"/>
  <c r="E21" i="19"/>
  <c r="E18" i="19"/>
  <c r="E20" i="19"/>
  <c r="E4" i="19"/>
  <c r="E11" i="19" s="1"/>
  <c r="F4" i="19"/>
  <c r="F18" i="19" l="1"/>
  <c r="E14" i="19"/>
  <c r="E15" i="19" s="1"/>
  <c r="E24" i="19"/>
  <c r="E25" i="19" l="1"/>
  <c r="E26" i="19" s="1"/>
  <c r="E27" i="19" s="1"/>
  <c r="E28" i="19" l="1"/>
  <c r="E29" i="19" s="1"/>
  <c r="E32" i="19" s="1"/>
  <c r="E33" i="19" s="1"/>
  <c r="E35" i="19" s="1"/>
  <c r="F4" i="21"/>
  <c r="E4" i="21"/>
  <c r="E7" i="21"/>
  <c r="E8" i="21"/>
  <c r="E21" i="21"/>
  <c r="E19" i="21"/>
  <c r="E16" i="21"/>
  <c r="E20" i="21"/>
  <c r="E36" i="19" l="1"/>
  <c r="E37" i="19"/>
  <c r="E40" i="19"/>
  <c r="E38" i="19"/>
  <c r="E39" i="19"/>
  <c r="E10" i="21"/>
  <c r="E13" i="21" s="1"/>
  <c r="E14" i="21" s="1"/>
  <c r="E18" i="21"/>
  <c r="E15" i="21"/>
  <c r="E17" i="21"/>
  <c r="F17" i="21" s="1"/>
  <c r="E27" i="25" l="1"/>
  <c r="O25" i="25"/>
  <c r="Q25" i="25" s="1"/>
  <c r="E23" i="21"/>
  <c r="E24" i="21" s="1"/>
  <c r="E25" i="21" s="1"/>
  <c r="E26" i="21" s="1"/>
  <c r="E27" i="21" s="1"/>
  <c r="E28" i="21" s="1"/>
  <c r="E31" i="21" l="1"/>
  <c r="E32" i="21" s="1"/>
  <c r="E35" i="21" l="1"/>
  <c r="E34" i="21"/>
  <c r="E32" i="25" s="1"/>
  <c r="E37" i="21"/>
  <c r="E38" i="21"/>
  <c r="E39" i="21"/>
  <c r="E36" i="21"/>
  <c r="O36" i="25" l="1"/>
  <c r="Q36"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Solimini, Kara (EHS)</author>
  </authors>
  <commentList>
    <comment ref="B44" authorId="0" shapeId="0" xr:uid="{76996901-112F-4F06-B6C6-4C5D72AA779A}">
      <text>
        <r>
          <rPr>
            <b/>
            <sz val="12"/>
            <color indexed="81"/>
            <rFont val="Tahoma"/>
            <family val="2"/>
          </rPr>
          <t>Solimini, Kara (EHS): May 1, 2023
The May 2022 BLS wages statistics were released last week and is position salary has decreased significantly on a National level.  Therefore we are using the MA OEWS code as a benchmark.  This benchmark at the 53rd percentile is $247,350 which is still less than the currrent becnhmark of $247,470. 
As a policy decision and in an effort to not "decrease model salaries" POS (c.257) rate models will use the existing benchmark and cite the M2021 BLS code previously used.
M2022 BLS  (29-1223 Psychiatrists) National Annual Mean (MA 2022 Mean is $196,230)</t>
        </r>
        <r>
          <rPr>
            <sz val="10"/>
            <color indexed="81"/>
            <rFont val="Tahoma"/>
            <charset val="1"/>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EHS</author>
  </authors>
  <commentList>
    <comment ref="F26" authorId="0" shapeId="0" xr:uid="{00000000-0006-0000-0400-000001000000}">
      <text>
        <r>
          <rPr>
            <b/>
            <sz val="8"/>
            <color indexed="81"/>
            <rFont val="Tahoma"/>
            <family val="2"/>
          </rPr>
          <t>EHS:</t>
        </r>
        <r>
          <rPr>
            <sz val="8"/>
            <color indexed="81"/>
            <rFont val="Tahoma"/>
            <family val="2"/>
          </rPr>
          <t xml:space="preserve">
CURRENT RATE</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EHS</author>
  </authors>
  <commentList>
    <comment ref="F29" authorId="0" shapeId="0" xr:uid="{00000000-0006-0000-0500-000001000000}">
      <text>
        <r>
          <rPr>
            <sz val="8"/>
            <color indexed="81"/>
            <rFont val="Tahoma"/>
            <family val="2"/>
          </rPr>
          <t xml:space="preserve">CURRENT RATE Jan 2018 - Dec 2019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EHS</author>
  </authors>
  <commentList>
    <comment ref="D91" authorId="0" shapeId="0" xr:uid="{00000000-0006-0000-0600-000001000000}">
      <text>
        <r>
          <rPr>
            <sz val="8"/>
            <color indexed="81"/>
            <rFont val="Tahoma"/>
            <family val="2"/>
          </rPr>
          <t>Previously $74,913</t>
        </r>
      </text>
    </comment>
    <comment ref="I91" authorId="0" shapeId="0" xr:uid="{00000000-0006-0000-0600-000002000000}">
      <text>
        <r>
          <rPr>
            <b/>
            <sz val="8"/>
            <color indexed="81"/>
            <rFont val="Tahoma"/>
            <family val="2"/>
          </rPr>
          <t>EHS:</t>
        </r>
        <r>
          <rPr>
            <sz val="8"/>
            <color indexed="81"/>
            <rFont val="Tahoma"/>
            <family val="2"/>
          </rPr>
          <t xml:space="preserve">
Previously $73,785</t>
        </r>
      </text>
    </comment>
    <comment ref="N91" authorId="0" shapeId="0" xr:uid="{00000000-0006-0000-0600-000003000000}">
      <text>
        <r>
          <rPr>
            <sz val="8"/>
            <color indexed="81"/>
            <rFont val="Tahoma"/>
            <family val="2"/>
          </rPr>
          <t>Previously $103,029</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Solimini, Kara (EHS)</author>
  </authors>
  <commentList>
    <comment ref="Q2" authorId="0" shapeId="0" xr:uid="{17039F95-180F-45B6-82EB-67A6C01B2A00}">
      <text>
        <r>
          <rPr>
            <b/>
            <sz val="9"/>
            <color indexed="81"/>
            <rFont val="Tahoma"/>
            <charset val="1"/>
          </rPr>
          <t>Solimini, Kara (EHS):</t>
        </r>
        <r>
          <rPr>
            <sz val="9"/>
            <color indexed="81"/>
            <rFont val="Tahoma"/>
            <charset val="1"/>
          </rPr>
          <t xml:space="preserve">
moved from the Youth Support Tab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tc={59DED6FE-068B-4ADB-803E-C3F3F38AA676}</author>
    <author>Vilay, Erica</author>
  </authors>
  <commentList>
    <comment ref="B16" authorId="0" shapeId="0" xr:uid="{59DED6FE-068B-4ADB-803E-C3F3F38AA676}">
      <text>
        <t>[Threaded comment]
Your version of Excel allows you to read this threaded comment; however, any edits to it will get removed if the file is opened in a newer version of Excel. Learn more: https://go.microsoft.com/fwlink/?linkid=870924
Comment:
    Decreased because no face-to-face office meetings are needed.</t>
      </text>
    </comment>
    <comment ref="E30" authorId="1" shapeId="0" xr:uid="{F81A2D0F-E87F-4BA0-8EC1-7D19DF04D27B}">
      <text>
        <r>
          <rPr>
            <b/>
            <sz val="9"/>
            <color indexed="81"/>
            <rFont val="Tahoma"/>
            <family val="2"/>
          </rPr>
          <t>Vilay, Erica:</t>
        </r>
        <r>
          <rPr>
            <sz val="9"/>
            <color indexed="81"/>
            <rFont val="Tahoma"/>
            <family val="2"/>
          </rPr>
          <t xml:space="preserve">
2080 total hours, less 15.4% for vacation, sick time, holidays, and a week training</t>
        </r>
      </text>
    </comment>
    <comment ref="L30" authorId="1" shapeId="0" xr:uid="{784D16E7-0538-4B55-8EDC-0E55ACDEAEA9}">
      <text>
        <r>
          <rPr>
            <b/>
            <sz val="9"/>
            <color indexed="81"/>
            <rFont val="Tahoma"/>
            <family val="2"/>
          </rPr>
          <t>Vilay, Erica:</t>
        </r>
        <r>
          <rPr>
            <sz val="9"/>
            <color indexed="81"/>
            <rFont val="Tahoma"/>
            <family val="2"/>
          </rPr>
          <t xml:space="preserve">
2080 total hours, less 15.4% for vacation, sick time, holidays, and a week training</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Vilay, Erica</author>
    <author>Dawson, Denise</author>
  </authors>
  <commentList>
    <comment ref="K6" authorId="0" shapeId="0" xr:uid="{25087DF6-E1F2-4A6B-9DA1-5171EFA0A919}">
      <text>
        <r>
          <rPr>
            <b/>
            <sz val="9"/>
            <color indexed="81"/>
            <rFont val="Tahoma"/>
            <family val="2"/>
          </rPr>
          <t>Vilay, Erica:</t>
        </r>
        <r>
          <rPr>
            <sz val="9"/>
            <color indexed="81"/>
            <rFont val="Tahoma"/>
            <family val="2"/>
          </rPr>
          <t xml:space="preserve">
1 FTE per 15 families</t>
        </r>
      </text>
    </comment>
    <comment ref="J8" authorId="1" shapeId="0" xr:uid="{3482724A-C2D3-4C63-8693-1E5E31A2F715}">
      <text>
        <r>
          <rPr>
            <b/>
            <sz val="9"/>
            <color indexed="81"/>
            <rFont val="Tahoma"/>
            <family val="2"/>
          </rPr>
          <t>Dawson, Denise:</t>
        </r>
        <r>
          <rPr>
            <sz val="9"/>
            <color indexed="81"/>
            <rFont val="Tahoma"/>
            <family val="2"/>
          </rPr>
          <t xml:space="preserve">
Indexed to Direct Care 1 -- some discussion 12/21 about using DC 3 rate instead</t>
        </r>
      </text>
    </comment>
    <comment ref="L30" authorId="0" shapeId="0" xr:uid="{4F715E96-379D-44E1-8402-D0A361FF9C8C}">
      <text>
        <r>
          <rPr>
            <b/>
            <sz val="9"/>
            <color indexed="81"/>
            <rFont val="Tahoma"/>
            <family val="2"/>
          </rPr>
          <t>Vilay, Erica:</t>
        </r>
        <r>
          <rPr>
            <sz val="9"/>
            <color indexed="81"/>
            <rFont val="Tahoma"/>
            <family val="2"/>
          </rPr>
          <t xml:space="preserve">
2080 total hours, less 15.4% for vacation, sick time, holidays, and a week training</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Dawson, Denise</author>
  </authors>
  <commentList>
    <comment ref="J8" authorId="0" shapeId="0" xr:uid="{9E691663-7267-46FB-9389-7236E2BD5257}">
      <text>
        <r>
          <rPr>
            <b/>
            <sz val="9"/>
            <color indexed="81"/>
            <rFont val="Tahoma"/>
            <family val="2"/>
          </rPr>
          <t>Dawson, Denise:</t>
        </r>
        <r>
          <rPr>
            <sz val="9"/>
            <color indexed="81"/>
            <rFont val="Tahoma"/>
            <family val="2"/>
          </rPr>
          <t xml:space="preserve">
Indexed to Direct Care 1 -- some discussion 12/21 about using DC 3 rate instead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Vilay, Erica</author>
  </authors>
  <commentList>
    <comment ref="A7" authorId="0" shapeId="0" xr:uid="{E2FD2B8C-598D-4AD3-BA6C-26FB18D835E7}">
      <text>
        <r>
          <rPr>
            <b/>
            <sz val="9"/>
            <color indexed="81"/>
            <rFont val="Tahoma"/>
            <family val="2"/>
          </rPr>
          <t>Vilay, Erica:</t>
        </r>
        <r>
          <rPr>
            <sz val="9"/>
            <color indexed="81"/>
            <rFont val="Tahoma"/>
            <family val="2"/>
          </rPr>
          <t xml:space="preserve">
Blended salaries for Speech and Language Pathologist and Occupational Therapist</t>
        </r>
      </text>
    </comment>
    <comment ref="D32" authorId="0" shapeId="0" xr:uid="{5E1D66B9-8858-46A6-9D78-518337AF5192}">
      <text>
        <r>
          <rPr>
            <b/>
            <sz val="9"/>
            <color indexed="81"/>
            <rFont val="Tahoma"/>
            <family val="2"/>
          </rPr>
          <t>Vilay, Erica:</t>
        </r>
        <r>
          <rPr>
            <sz val="9"/>
            <color indexed="81"/>
            <rFont val="Tahoma"/>
            <family val="2"/>
          </rPr>
          <t xml:space="preserve">
2080 total hours, less 15.4% for vacation, sick time, holidays, and a week training</t>
        </r>
      </text>
    </comment>
    <comment ref="A50" authorId="0" shapeId="0" xr:uid="{FEB3E840-C592-4021-AC95-174C8C556751}">
      <text>
        <r>
          <rPr>
            <b/>
            <sz val="9"/>
            <color indexed="81"/>
            <rFont val="Tahoma"/>
            <family val="2"/>
          </rPr>
          <t>Vilay, Erica:</t>
        </r>
        <r>
          <rPr>
            <sz val="9"/>
            <color indexed="81"/>
            <rFont val="Tahoma"/>
            <family val="2"/>
          </rPr>
          <t xml:space="preserve">
Blended salaries for Speech and Language Pathologist and Occupational Therapist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Dawson, Denise</author>
  </authors>
  <commentList>
    <comment ref="C59" authorId="0" shapeId="0" xr:uid="{1CFFE980-0640-4B9C-91CC-C576290329AA}">
      <text>
        <r>
          <rPr>
            <b/>
            <sz val="9"/>
            <color indexed="81"/>
            <rFont val="Tahoma"/>
            <family val="2"/>
          </rPr>
          <t>Dawson, Denise:</t>
        </r>
        <r>
          <rPr>
            <sz val="9"/>
            <color indexed="81"/>
            <rFont val="Tahoma"/>
            <family val="2"/>
          </rPr>
          <t xml:space="preserve">
Indexed to Direct Care 1 -- some discussion 12/21 about using DC 3 rate instead</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Solimini, Kara (EHS)</author>
    <author>Vilay, Erica</author>
  </authors>
  <commentList>
    <comment ref="A2" authorId="0" shapeId="0" xr:uid="{040611DE-5702-41C0-A717-F075A10A2FB2}">
      <text>
        <r>
          <rPr>
            <b/>
            <sz val="9"/>
            <color indexed="81"/>
            <rFont val="Tahoma"/>
            <charset val="1"/>
          </rPr>
          <t>Solimini, Kara (EHS):</t>
        </r>
        <r>
          <rPr>
            <sz val="9"/>
            <color indexed="81"/>
            <rFont val="Tahoma"/>
            <charset val="1"/>
          </rPr>
          <t xml:space="preserve">
move this model from the Safe and Stable tab</t>
        </r>
      </text>
    </comment>
    <comment ref="H5" authorId="1" shapeId="0" xr:uid="{BC67CB6A-35AA-400D-9553-C90B038FBBB8}">
      <text>
        <r>
          <rPr>
            <b/>
            <sz val="9"/>
            <color indexed="81"/>
            <rFont val="Tahoma"/>
            <family val="2"/>
          </rPr>
          <t>Vilay, Erica:</t>
        </r>
        <r>
          <rPr>
            <sz val="9"/>
            <color indexed="81"/>
            <rFont val="Tahoma"/>
            <family val="2"/>
          </rPr>
          <t xml:space="preserve">
We assume the clinician will provide some supervisory activities</t>
        </r>
      </text>
    </comment>
    <comment ref="C7" authorId="1" shapeId="0" xr:uid="{B4E8C1AE-F3AA-46CB-9B7A-ADE57FCEF4CB}">
      <text>
        <r>
          <rPr>
            <b/>
            <sz val="9"/>
            <color indexed="81"/>
            <rFont val="Tahoma"/>
            <family val="2"/>
          </rPr>
          <t>Vilay, Erica:</t>
        </r>
        <r>
          <rPr>
            <sz val="9"/>
            <color indexed="81"/>
            <rFont val="Tahoma"/>
            <family val="2"/>
          </rPr>
          <t xml:space="preserve">
1.5 FTEs per 10 cases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EHS</author>
  </authors>
  <commentList>
    <comment ref="F29" authorId="0" shapeId="0" xr:uid="{A693E965-FE87-47E5-A12D-00016C9C0A96}">
      <text>
        <r>
          <rPr>
            <sz val="8"/>
            <color indexed="81"/>
            <rFont val="Tahoma"/>
            <family val="2"/>
          </rPr>
          <t xml:space="preserve">CURRENT RATE Jan 2018 - Dec 2019
</t>
        </r>
      </text>
    </comment>
  </commentList>
</comments>
</file>

<file path=xl/sharedStrings.xml><?xml version="1.0" encoding="utf-8"?>
<sst xmlns="http://schemas.openxmlformats.org/spreadsheetml/2006/main" count="3370" uniqueCount="725">
  <si>
    <t>Massachusetts Economic Indicators</t>
  </si>
  <si>
    <t>Prepared by Michael Lynch, 781-301-9129</t>
  </si>
  <si>
    <t>FY21</t>
  </si>
  <si>
    <t>FY22</t>
  </si>
  <si>
    <t>FY23</t>
  </si>
  <si>
    <t>FY24</t>
  </si>
  <si>
    <t>FY25</t>
  </si>
  <si>
    <t>NAME</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</si>
  <si>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</si>
  <si>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</si>
  <si>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</si>
  <si>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</si>
  <si>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</si>
  <si>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</si>
  <si>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</si>
  <si>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</si>
  <si>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</si>
  <si>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</si>
  <si>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</si>
  <si>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</si>
  <si>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</si>
  <si>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</si>
  <si>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</si>
  <si>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</si>
  <si>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</si>
  <si>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</si>
  <si>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</si>
  <si>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</si>
  <si>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</si>
  <si>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</si>
  <si>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</si>
  <si>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</si>
  <si>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</si>
  <si>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</si>
  <si>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</si>
  <si>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</si>
  <si>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</si>
  <si>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</si>
  <si>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</si>
  <si>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</si>
  <si>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</si>
  <si>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</si>
  <si>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</si>
  <si>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</si>
  <si>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</si>
  <si>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</si>
  <si>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</si>
  <si>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</si>
  <si>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</si>
  <si>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</si>
  <si>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</si>
  <si>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</si>
  <si>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</si>
  <si>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</si>
  <si>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</si>
  <si>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</si>
  <si>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</si>
  <si>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</si>
  <si>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</si>
  <si>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</si>
  <si>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</si>
  <si>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</si>
  <si>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</si>
  <si>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</si>
  <si>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</si>
  <si>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</si>
  <si>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</si>
  <si>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</si>
  <si>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</si>
  <si>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</si>
  <si>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</si>
  <si>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</si>
  <si>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</si>
  <si>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</si>
  <si>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</si>
  <si>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</si>
  <si>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</si>
  <si>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</si>
  <si>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</si>
  <si>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</si>
  <si>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</si>
  <si>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</si>
  <si>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</si>
  <si>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</si>
  <si>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</si>
  <si>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</si>
  <si>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</si>
  <si>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</si>
  <si>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</si>
  <si>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</si>
  <si>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</si>
  <si>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</si>
  <si>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2025Q1</t>
  </si>
  <si>
    <t>2025Q2</t>
  </si>
  <si>
    <t>2025Q3</t>
  </si>
  <si>
    <t>2025Q4</t>
  </si>
  <si>
    <t>CPI--BASELINE SCENARIO (1982-84=1)</t>
  </si>
  <si>
    <t>CPIBASEMA</t>
  </si>
  <si>
    <t>CPI--OPTIMISTIC SCENARIO (1982-84=1)</t>
  </si>
  <si>
    <t>CPIOPTMA</t>
  </si>
  <si>
    <t>CPI--PESSIMISTIC SCENARIO (1982-84=1)</t>
  </si>
  <si>
    <t>CPIPESSMA</t>
  </si>
  <si>
    <t>Rate-to-rate CAF</t>
  </si>
  <si>
    <t xml:space="preserve">Base period: </t>
  </si>
  <si>
    <t>Average</t>
  </si>
  <si>
    <t xml:space="preserve">Prospective rate period: </t>
  </si>
  <si>
    <t>CAF:</t>
  </si>
  <si>
    <t>Source:</t>
  </si>
  <si>
    <t>BLS / OES</t>
  </si>
  <si>
    <t>Position</t>
  </si>
  <si>
    <t>Common model titles (not all inclusive)</t>
  </si>
  <si>
    <t>Minimum Education and/or certification/Training/Experience</t>
  </si>
  <si>
    <t>BLS Occupational Code(s)</t>
  </si>
  <si>
    <t>Direct Care (hourly)</t>
  </si>
  <si>
    <t>Direct Care, Direct Care Blend, Non Specialized DC, Peer mentor, Family Specialist/ Partner</t>
  </si>
  <si>
    <t>High School diploma / GED / State Training</t>
  </si>
  <si>
    <t>Direct Care  (annual)</t>
  </si>
  <si>
    <t>Direct Care III (hourly)</t>
  </si>
  <si>
    <t>Direct Care Supervisor, Direct Care Bachelors</t>
  </si>
  <si>
    <t>Bachelors Level or 5+ years related experience</t>
  </si>
  <si>
    <t>Direct Care III (annual)</t>
  </si>
  <si>
    <t xml:space="preserve">Developmental Specialist, </t>
  </si>
  <si>
    <t>Certified Nursing Assistant  (hourly)</t>
  </si>
  <si>
    <t>Completed a state-approved education program and must pass their state’s competency exam. </t>
  </si>
  <si>
    <t>31-1131</t>
  </si>
  <si>
    <t>Certified Nursing Assistant  (annual)</t>
  </si>
  <si>
    <t xml:space="preserve">Case / Social Worker (hourly) </t>
  </si>
  <si>
    <t>BA level social worker, LSW, BSW</t>
  </si>
  <si>
    <t>Bachelors Level or 8+ years related experience</t>
  </si>
  <si>
    <t>21-1021, 21-1099</t>
  </si>
  <si>
    <t>Case / Social Worker (annual)</t>
  </si>
  <si>
    <t>LDAC1</t>
  </si>
  <si>
    <t>Case Manager / Social Worker / Clinical w/o independent License (hourly)</t>
  </si>
  <si>
    <t>LDAC2,  LMSW, LCSW</t>
  </si>
  <si>
    <t>Masters Level</t>
  </si>
  <si>
    <t>Case Manager / Social Worker / Clinical w/o independent License</t>
  </si>
  <si>
    <t>Clinical without Independent Licensure</t>
  </si>
  <si>
    <t>LPN (hourly)</t>
  </si>
  <si>
    <t>Complete a state approved nurse education program for licensed practical or licensed vocation nurse</t>
  </si>
  <si>
    <t>29-2061</t>
  </si>
  <si>
    <t>LPN (annual)</t>
  </si>
  <si>
    <t>Clinical w/ Independent licensure (hourly)</t>
  </si>
  <si>
    <t>LPHA, LICSW, LMHC, LBHA, BCBA</t>
  </si>
  <si>
    <t xml:space="preserve">Masters with Licensure in Related Discipline </t>
  </si>
  <si>
    <t>Clinical w/ Independent licensure (annual)</t>
  </si>
  <si>
    <t>Dietician / Nutritionist (hourly)</t>
  </si>
  <si>
    <t xml:space="preserve">Bachelors Level </t>
  </si>
  <si>
    <t>29-1031</t>
  </si>
  <si>
    <t>Dietician / Nutritionist (annual)</t>
  </si>
  <si>
    <t>Program Management (hourly)</t>
  </si>
  <si>
    <t xml:space="preserve">Program manager, Program management, </t>
  </si>
  <si>
    <t>BA Level w/ 3+ years related work experience</t>
  </si>
  <si>
    <t>11-9151</t>
  </si>
  <si>
    <t>Program Management (annual)</t>
  </si>
  <si>
    <t>Program director</t>
  </si>
  <si>
    <t>Occupational Therapist (hourly)</t>
  </si>
  <si>
    <t>Occupational Therapists</t>
  </si>
  <si>
    <t>29-1129, 31-2011, 29-1122 (25%/25%/50%)</t>
  </si>
  <si>
    <t>Occupational Therapist (annual)</t>
  </si>
  <si>
    <t>Physical Therapist (hourly)</t>
  </si>
  <si>
    <t>Physical Therapists</t>
  </si>
  <si>
    <t>29-1129, 31-2021, 29-1123  (20%/20%/60%)</t>
  </si>
  <si>
    <t>Physical Therapist (annual)</t>
  </si>
  <si>
    <t>Clinical Manager / Psychologists (hourly)</t>
  </si>
  <si>
    <t>Masters with Licensure in Related Discipline and supervising/managerial related experience</t>
  </si>
  <si>
    <t>Clinical Manager /  Psychologists  (annual)</t>
  </si>
  <si>
    <t>Speech Language Pathologists (hourly)</t>
  </si>
  <si>
    <t>29-1129, 29-1127</t>
  </si>
  <si>
    <t>Speech Language Pathologists (annual)</t>
  </si>
  <si>
    <t>Registerd Nurse (BA) (hourly)</t>
  </si>
  <si>
    <t>Minimum of an associates degree in nursing, a diploma from an approved nursing program, or a Bachelors of Science in Nursing</t>
  </si>
  <si>
    <t>29-1141</t>
  </si>
  <si>
    <t>Registered Nurse (BA) (annual)</t>
  </si>
  <si>
    <t>Registerd Nurse (MA / APRN) (hourly)</t>
  </si>
  <si>
    <t>Minimum of a Masters of Science in one of the APRN roles. Must be licensed</t>
  </si>
  <si>
    <t>29-1171</t>
  </si>
  <si>
    <t>Registered Nurse (MA / APRN) (annual)</t>
  </si>
  <si>
    <t>Clerical, Support &amp; Direct Care Relief Staff are benched to Direct Care</t>
  </si>
  <si>
    <t>Admin Allocation</t>
  </si>
  <si>
    <t>C.257 Benchmark</t>
  </si>
  <si>
    <t>Psychiatrist</t>
  </si>
  <si>
    <t>Medical Director</t>
  </si>
  <si>
    <t>average pre-exclusions</t>
  </si>
  <si>
    <t>floor</t>
  </si>
  <si>
    <r>
      <t xml:space="preserve">Outliers, average, and weighted average are calculated from </t>
    </r>
    <r>
      <rPr>
        <i/>
        <sz val="11"/>
        <color rgb="FFFF0000"/>
        <rFont val="Calibri"/>
        <family val="2"/>
        <scheme val="minor"/>
      </rPr>
      <t>only those reporting expense in this category</t>
    </r>
    <r>
      <rPr>
        <sz val="11"/>
        <color rgb="FFFF0000"/>
        <rFont val="Calibri"/>
        <family val="2"/>
        <scheme val="minor"/>
      </rPr>
      <t xml:space="preserve">. No zero values are incorporated in these calculations. </t>
    </r>
  </si>
  <si>
    <t>ceiling</t>
  </si>
  <si>
    <t>average</t>
  </si>
  <si>
    <t>weighted average</t>
  </si>
  <si>
    <t>average incl. zeroes</t>
  </si>
  <si>
    <t>17E</t>
  </si>
  <si>
    <t>18E</t>
  </si>
  <si>
    <t>19E</t>
  </si>
  <si>
    <t>20E</t>
  </si>
  <si>
    <t>21E</t>
  </si>
  <si>
    <t>22E</t>
  </si>
  <si>
    <t>23E</t>
  </si>
  <si>
    <t>24E</t>
  </si>
  <si>
    <t>25E</t>
  </si>
  <si>
    <t>26E</t>
  </si>
  <si>
    <t>27E</t>
  </si>
  <si>
    <t>28E</t>
  </si>
  <si>
    <t>29E</t>
  </si>
  <si>
    <t>30E</t>
  </si>
  <si>
    <t>31E</t>
  </si>
  <si>
    <t>32E</t>
  </si>
  <si>
    <t>33E</t>
  </si>
  <si>
    <t>34E</t>
  </si>
  <si>
    <t>35E</t>
  </si>
  <si>
    <t>36E</t>
  </si>
  <si>
    <t>Total Occupancy</t>
  </si>
  <si>
    <t>Direct Care Consultant 201</t>
  </si>
  <si>
    <t>Temporary Help 202</t>
  </si>
  <si>
    <t>Clients and Caregivers Reimb./Stipends 203</t>
  </si>
  <si>
    <t>Subcontracted Direct Care 206</t>
  </si>
  <si>
    <t>Staff Training 204</t>
  </si>
  <si>
    <t>Staff Mileage / Travel 205</t>
  </si>
  <si>
    <t>Meals 207</t>
  </si>
  <si>
    <t>Client Transportation 208</t>
  </si>
  <si>
    <t>Vehicle Expenses 208</t>
  </si>
  <si>
    <t>Vehicle Depreciation 208</t>
  </si>
  <si>
    <t>Incidental Medical /Medicine/Pharmacy 209</t>
  </si>
  <si>
    <t>Client Personal Allowances 211</t>
  </si>
  <si>
    <t>Provision Material Goods/Svs./Benefits 212</t>
  </si>
  <si>
    <t>Direct Client Wages 214</t>
  </si>
  <si>
    <t>Other Commercial Prod. &amp; Svs. 214</t>
  </si>
  <si>
    <t>Program Supplies &amp; Materials 215</t>
  </si>
  <si>
    <t>Non Charitable Expenses</t>
  </si>
  <si>
    <t>Other Expense</t>
  </si>
  <si>
    <t>Total Other Program Expense</t>
  </si>
  <si>
    <t>OrganizationName</t>
  </si>
  <si>
    <t>Sum of FTE</t>
  </si>
  <si>
    <t>Sum of Actual</t>
  </si>
  <si>
    <t>Advocates, Inc.</t>
  </si>
  <si>
    <t>Alternatives Unlimited</t>
  </si>
  <si>
    <t>American Training, Inc.</t>
  </si>
  <si>
    <t>ASPERGER/AUTISM NETWORK</t>
  </si>
  <si>
    <t>Barry L. Price Rehabilitation Center, Inc.</t>
  </si>
  <si>
    <t>Bay Cove Human Services, Inc.</t>
  </si>
  <si>
    <t>Beaverbrook STEP, Inc.</t>
  </si>
  <si>
    <t>BEHAVIORAL HEALTH NETWORK</t>
  </si>
  <si>
    <t>Berkshire County Arc, Inc.</t>
  </si>
  <si>
    <t>Better Community Living, Inc.</t>
  </si>
  <si>
    <t>Bridgewell</t>
  </si>
  <si>
    <t>Brockton Area Multi-Services, Inc.</t>
  </si>
  <si>
    <t>Cambodian Mutual Assisttance Association of Greater Lowell, Inc.</t>
  </si>
  <si>
    <t>Cambridge Family &amp; Children's Service</t>
  </si>
  <si>
    <t>Capeabilities, INc.</t>
  </si>
  <si>
    <t>Center of Hope Foundation, Inc.</t>
  </si>
  <si>
    <t>Centro Las Americas</t>
  </si>
  <si>
    <t>Charles River Association for Retarded Citizens, Inc.</t>
  </si>
  <si>
    <t>Choice Community Supports</t>
  </si>
  <si>
    <t>COMMUNITAS, INC.</t>
  </si>
  <si>
    <t>Community Providers of Adoloscent Servic</t>
  </si>
  <si>
    <t>Community Systems, Inc</t>
  </si>
  <si>
    <t>Cooperative for Human Services, Inc.</t>
  </si>
  <si>
    <t>Delta Projects, Inc.</t>
  </si>
  <si>
    <t>Eliot Community Human Services, Inc.</t>
  </si>
  <si>
    <t>Fidelity House, Inc.</t>
  </si>
  <si>
    <t>Friendship Home, Inc.</t>
  </si>
  <si>
    <t>Greater Marlboro Programs, Inc.</t>
  </si>
  <si>
    <t>Horace Mann Educational Associates, Inc.</t>
  </si>
  <si>
    <t>Kennedy-Donovan Center, Inc.</t>
  </si>
  <si>
    <t>LifeLinks, Inc</t>
  </si>
  <si>
    <t>LifeStream, Inc</t>
  </si>
  <si>
    <t>M.O.L.I.F.E., INC.</t>
  </si>
  <si>
    <t>Martha's Vineyard Community Services, Inc.</t>
  </si>
  <si>
    <t>Massachusetts Mentor, Inc.</t>
  </si>
  <si>
    <t>Minute Man Arc for Human Services, Inc.</t>
  </si>
  <si>
    <t>Multicultural Community Services of the Pioneer Valley, Inc.</t>
  </si>
  <si>
    <t>My Choice Programs, Inc.</t>
  </si>
  <si>
    <t>NONOTUCK RESOURCE ASSOCIATES, INC.</t>
  </si>
  <si>
    <t>North East Educational and Developmental Supports Center Inc</t>
  </si>
  <si>
    <t>Northeast Arc, Inc.</t>
  </si>
  <si>
    <t>Pathlght, Inc.</t>
  </si>
  <si>
    <t>People Incorporated</t>
  </si>
  <si>
    <t>Riverside Community Care Inc.</t>
  </si>
  <si>
    <t>Road to Responsibility, Inc</t>
  </si>
  <si>
    <t>ServiceNet, Inc.</t>
  </si>
  <si>
    <t>Seven Hills Foundation and Affiliates</t>
  </si>
  <si>
    <t>South Norfolk County Association for Retarded Citizens, Inc.</t>
  </si>
  <si>
    <t>TEMPUS UNLIMITED, INC.</t>
  </si>
  <si>
    <t>The Arc of Bristol County, Inc.</t>
  </si>
  <si>
    <t>The Arc of Greater Hav.-Newburyport, Inc</t>
  </si>
  <si>
    <t>The ARC of Greater Plymouth</t>
  </si>
  <si>
    <t>The Arc of Opportunity in North Central Massachusetts, Inc.</t>
  </si>
  <si>
    <t>The Arc of the South Shore</t>
  </si>
  <si>
    <t>The Edinburg Center, Inc.</t>
  </si>
  <si>
    <t>The Nemasket Group, Inc.</t>
  </si>
  <si>
    <t>The Shared Living Collaborative, Inc.</t>
  </si>
  <si>
    <t>Toward Independent Living and Learning, Inc.</t>
  </si>
  <si>
    <t>Turning Point, Inc.</t>
  </si>
  <si>
    <t>UCP of Western Massachusetts, Inc.</t>
  </si>
  <si>
    <t>United Arc of Franklin and Hampshire Cou</t>
  </si>
  <si>
    <t>Valley Collaborative</t>
  </si>
  <si>
    <t>Vinfen Corporation</t>
  </si>
  <si>
    <t>Waltham Committee, Inc. dba WCI</t>
  </si>
  <si>
    <t>WORK, Inc</t>
  </si>
  <si>
    <t>You're With Us, Inc.</t>
  </si>
  <si>
    <t>Est. Hrs/Week</t>
  </si>
  <si>
    <t>Sal</t>
  </si>
  <si>
    <t>FTE</t>
  </si>
  <si>
    <t>Exp</t>
  </si>
  <si>
    <t>Master Data Lookup Table - Clinical Comp Services</t>
  </si>
  <si>
    <t>Program Director</t>
  </si>
  <si>
    <t>Benchmark Salaries - BLS May 2021</t>
  </si>
  <si>
    <t>Benchmark FTEs</t>
  </si>
  <si>
    <t>Job Title 1</t>
  </si>
  <si>
    <t>A-1</t>
  </si>
  <si>
    <t>A-2</t>
  </si>
  <si>
    <t>B</t>
  </si>
  <si>
    <t>C</t>
  </si>
  <si>
    <t>D</t>
  </si>
  <si>
    <t>E</t>
  </si>
  <si>
    <t>F</t>
  </si>
  <si>
    <t>G</t>
  </si>
  <si>
    <t>Job Title 2</t>
  </si>
  <si>
    <t>Job Title 3</t>
  </si>
  <si>
    <t>Job Title 4</t>
  </si>
  <si>
    <t>Job Title 5</t>
  </si>
  <si>
    <t>Clinical</t>
  </si>
  <si>
    <t>Job Title 6</t>
  </si>
  <si>
    <t xml:space="preserve">Case Manager </t>
  </si>
  <si>
    <t>Program Support-Clerical</t>
  </si>
  <si>
    <t>Program Support-CQI</t>
  </si>
  <si>
    <t>Direct Care Staffing</t>
  </si>
  <si>
    <t>Benchmark Expenses</t>
  </si>
  <si>
    <t>Total Dir Care Staff</t>
  </si>
  <si>
    <t>Tax &amp; Fringe</t>
  </si>
  <si>
    <t>Expenses</t>
  </si>
  <si>
    <t>Taxes &amp; Fringe</t>
  </si>
  <si>
    <t>FY20 UFR Wt Avg</t>
  </si>
  <si>
    <t>Total Compensation</t>
  </si>
  <si>
    <t>Program Director as % of Clinical FTE</t>
  </si>
  <si>
    <t>Other</t>
  </si>
  <si>
    <t>Program Support as % of Clinical FTE</t>
  </si>
  <si>
    <t>CQI Specialist as a % of Clinical FTE</t>
  </si>
  <si>
    <t>Non Staff Direct Expense (% of total Comp)</t>
  </si>
  <si>
    <t>Total Staff EXPENSES</t>
  </si>
  <si>
    <t>Total Direct Expenses</t>
  </si>
  <si>
    <t>CAF (Jan 2022)</t>
  </si>
  <si>
    <t>Prospective rate period: 1/1/22-12/31/23</t>
  </si>
  <si>
    <t>Admin M&amp;G (Aka Admin Allocation)</t>
  </si>
  <si>
    <t>TOTAL</t>
  </si>
  <si>
    <t xml:space="preserve">Capacity </t>
  </si>
  <si>
    <t>Rate Per Enrolled Day</t>
  </si>
  <si>
    <t xml:space="preserve">NOTES: </t>
  </si>
  <si>
    <t>Rate</t>
  </si>
  <si>
    <t>If Hourly</t>
  </si>
  <si>
    <t>If Daily</t>
  </si>
  <si>
    <t>If Monthly</t>
  </si>
  <si>
    <t>If Quarterly</t>
  </si>
  <si>
    <t xml:space="preserve">If 2x Year </t>
  </si>
  <si>
    <t>If Annual</t>
  </si>
  <si>
    <t>Parent Skill Development Group</t>
  </si>
  <si>
    <t xml:space="preserve">Proposed Model Budget </t>
  </si>
  <si>
    <t>Per 13 session group</t>
  </si>
  <si>
    <t>MASTER DATA LOOK-UP TABLE</t>
  </si>
  <si>
    <t xml:space="preserve">Benchmark Salaries </t>
  </si>
  <si>
    <t>BLS May 2020 Management Benchmark</t>
  </si>
  <si>
    <t xml:space="preserve">Management </t>
  </si>
  <si>
    <t>Case Manager</t>
  </si>
  <si>
    <t>BLS May 2020 Case Manager Benchmark</t>
  </si>
  <si>
    <t>Direct care</t>
  </si>
  <si>
    <t>BLS May 2020 Direct Care III Benchmark</t>
  </si>
  <si>
    <t>Total Direct Care Staff</t>
  </si>
  <si>
    <t>FY21 Commonwealth (office of the Comptroller)</t>
  </si>
  <si>
    <t>c. 257 Benchmark</t>
  </si>
  <si>
    <t>Tax and fringe</t>
  </si>
  <si>
    <t>Occupancy</t>
  </si>
  <si>
    <t>Program Supplies &amp; Materials</t>
  </si>
  <si>
    <t>Occupancy (fixed)</t>
  </si>
  <si>
    <t xml:space="preserve">Occupancy </t>
  </si>
  <si>
    <t>FY20 Rate Review CAF</t>
  </si>
  <si>
    <t>Prospective rate period: 7/1/22-12/30/23</t>
  </si>
  <si>
    <t>Curriculum</t>
  </si>
  <si>
    <t xml:space="preserve">Program </t>
  </si>
  <si>
    <t>Total reimb exp excl m&amp;g</t>
  </si>
  <si>
    <t>Admin allocation</t>
  </si>
  <si>
    <t>Total with Cost adjustment factor (CAF)</t>
  </si>
  <si>
    <t>Total (independent of sessions)</t>
  </si>
  <si>
    <t>Rate per session</t>
  </si>
  <si>
    <t>Total with Cost adjustment factor (2015)</t>
  </si>
  <si>
    <t>Rate w/ Cost adjustment factor (2020)</t>
  </si>
  <si>
    <t>Total with Cost adjustment factor (2018)</t>
  </si>
  <si>
    <t>IN REG</t>
  </si>
  <si>
    <t>Eff. 1/1/22</t>
  </si>
  <si>
    <t>Family Skills Development Group</t>
  </si>
  <si>
    <t>Per 12 session group</t>
  </si>
  <si>
    <t>Management</t>
  </si>
  <si>
    <t>Direct Care</t>
  </si>
  <si>
    <t xml:space="preserve">Direct Care  </t>
  </si>
  <si>
    <t>FY20 UFR Wt AVg</t>
  </si>
  <si>
    <t>FY20 UFR Wt Avg (Supplies &amp;Materials)</t>
  </si>
  <si>
    <t>Prospective rate period: 7/1/22-12/31/23</t>
  </si>
  <si>
    <t xml:space="preserve">Total Rate </t>
  </si>
  <si>
    <t>Rate w/ CAF (2020)</t>
  </si>
  <si>
    <t>Specialty Family Skills Development Group</t>
  </si>
  <si>
    <t>Per 15 session group</t>
  </si>
  <si>
    <t>Total Sessions Group</t>
  </si>
  <si>
    <t>Particpants per Session:</t>
  </si>
  <si>
    <t>Direct Management Staffing</t>
  </si>
  <si>
    <t>Non specialized direct care</t>
  </si>
  <si>
    <t>avg cost</t>
  </si>
  <si>
    <t>#</t>
  </si>
  <si>
    <t>Facilitator/Coordinator Stipends</t>
  </si>
  <si>
    <t>Coordinator Stipends</t>
  </si>
  <si>
    <t>Meals</t>
  </si>
  <si>
    <t>Supplies / Cirriculum</t>
  </si>
  <si>
    <t>Child Care</t>
  </si>
  <si>
    <t>Transportation</t>
  </si>
  <si>
    <t xml:space="preserve">Total </t>
  </si>
  <si>
    <t>Facilitators / Session</t>
  </si>
  <si>
    <t>Per 101 CMR 414.02 Program Description</t>
  </si>
  <si>
    <t>Participants</t>
  </si>
  <si>
    <t>Session</t>
  </si>
  <si>
    <t>If using add-ons</t>
  </si>
  <si>
    <t>per session</t>
  </si>
  <si>
    <t>Occupancy purchase of space</t>
  </si>
  <si>
    <t>Source of $125: provider specific contractual total of $1,875, divided by 15 sessions); used also as basis for other family groups</t>
  </si>
  <si>
    <t xml:space="preserve">Stipends based off FY18UFR Data st avg per FTE </t>
  </si>
  <si>
    <t>Stipends per Session</t>
  </si>
  <si>
    <t>9 Stipends per Session Group</t>
  </si>
  <si>
    <t>Occupancy based off FY18 Data Wt avg per FTE</t>
  </si>
  <si>
    <t>Occupancy Cost per FTE's Per session</t>
  </si>
  <si>
    <t>Meals based off FY18 Data St avg per FTE</t>
  </si>
  <si>
    <t>Meals Per Session</t>
  </si>
  <si>
    <t>Meals per FTE</t>
  </si>
  <si>
    <t>Program Supplies/ Cirriculum 30E &amp; 33E</t>
  </si>
  <si>
    <t>Rate from Prior models</t>
  </si>
  <si>
    <t>Transportation based off FY18 Data Wt avg per FTE</t>
  </si>
  <si>
    <t>Model A-1 Direct Care Non Clinical Less Intensive</t>
  </si>
  <si>
    <t>Model A-2 Direct Care Non Clinical More Intensive</t>
  </si>
  <si>
    <t>Admin M&amp;G</t>
  </si>
  <si>
    <t>Model B Direct Care and Clinical Less Intensive</t>
  </si>
  <si>
    <t>Model C Direct Care and Clinical More Intensive</t>
  </si>
  <si>
    <t>Model D Clinical</t>
  </si>
  <si>
    <t>Model E Direct Care and Clinical High Intensive</t>
  </si>
  <si>
    <t>Model F Direct Care and Clinical Highest Intensive</t>
  </si>
  <si>
    <t>Model G Direct Care and Clinical Higher Intensive</t>
  </si>
  <si>
    <t>UFR ADJUSTED</t>
  </si>
  <si>
    <t>Family Training Groups</t>
  </si>
  <si>
    <t>Parental Skills Dev</t>
  </si>
  <si>
    <t>Family Skills Dev</t>
  </si>
  <si>
    <t>Spec. Family Skills</t>
  </si>
  <si>
    <t>Clinical Comprehensive</t>
  </si>
  <si>
    <t>Model A-1</t>
  </si>
  <si>
    <t>Model A-2</t>
  </si>
  <si>
    <t>Model B</t>
  </si>
  <si>
    <t>Model C</t>
  </si>
  <si>
    <t>Model D</t>
  </si>
  <si>
    <t>Model E</t>
  </si>
  <si>
    <t>Model F</t>
  </si>
  <si>
    <t>Model G</t>
  </si>
  <si>
    <t>Add-ons</t>
  </si>
  <si>
    <t>Facilitator/Coordinators</t>
  </si>
  <si>
    <t>** Add Ons have been CAF'd only***</t>
  </si>
  <si>
    <t>Occupancy (purchase of space)</t>
  </si>
  <si>
    <t>Transportation (beyond incidentals)</t>
  </si>
  <si>
    <t>Direct Care III</t>
  </si>
  <si>
    <t>Direct Care (Case Manager)</t>
  </si>
  <si>
    <t>Clinical Manager</t>
  </si>
  <si>
    <t>Clinician</t>
  </si>
  <si>
    <t>Total Billable Hours</t>
  </si>
  <si>
    <t>Speech and Language Pathologist</t>
  </si>
  <si>
    <t>Dietician</t>
  </si>
  <si>
    <t>LPN</t>
  </si>
  <si>
    <t>Occupational Therapist</t>
  </si>
  <si>
    <t>Travel per FTE</t>
  </si>
  <si>
    <t>Doubled staff mileage and client transportation because parents and children are in different locations and this service cannot be achieved without additional support for transportation costs.</t>
  </si>
  <si>
    <t>Doubled Client Personal Allowances for the basics (e.g., food, clothing, connection to other services, short-term hotel stay) necessary for the success of this Safe and Stable service</t>
  </si>
  <si>
    <t>Client Personal Allowances increased by 1.5 to support the purchase of items and arrangements necessary for preparing the family to successfully receive a child</t>
  </si>
  <si>
    <t>Doubled Client Personal Allowances for the basics (e.g., food, clothing, connection to other services, short-term hotel stay) necessary for the success of this comprehensive service</t>
  </si>
  <si>
    <t>Doubled Client Personal Allowances for the basics (e.g., food, clothing, connection to other services, short-term hotel stay) necessary for the success of this service</t>
  </si>
  <si>
    <t>Client Personal Allowances increased by 2.5 to support costs associated with college application fees and the basic needs (e.g., food, clothing) necessary for the success of this service. Client Transportation doubled to support costs associated with independent community access.</t>
  </si>
  <si>
    <t>Client Personal Allowances increased by 1.5 to support the purchase and provision of school supplies, uniforms, and virtual communication associated with educational and vocational preparation. Client Transportation doubled to support costs associated with community access.</t>
  </si>
  <si>
    <t>Client Personal Allowances increased by 1.5 for the basics (e.g., food, clothing, educational/vocational costs) necessary for the success of this service</t>
  </si>
  <si>
    <t>Separate I.C. rate needed for ongoing supervision and fidelity monitoring and reporting</t>
  </si>
  <si>
    <t>Ask EOHHS to add add-on rates for FTEs, like in CCNET</t>
  </si>
  <si>
    <t>Separate I.C. rate (as an add-on rate) of $10,000 in year 1 to include initial training for both staff and supervisors, ongoing supervision to maintain fidelity, and fidelity reporting; $5,000 in year 2, for ongoing supervision to maintain fidelity and fidelity reporting, and to train new staff</t>
  </si>
  <si>
    <t>Client Personal Allowances increased by 1.5 to address basic needs (e.g., weighted blanket) identified during response to crisis</t>
  </si>
  <si>
    <t>Caseload</t>
  </si>
  <si>
    <t>Supervisor</t>
  </si>
  <si>
    <t>MA level (or BA that's enrolled or has a plan to enroll in a MA program)</t>
  </si>
  <si>
    <t>Direct Care Worker</t>
  </si>
  <si>
    <t>Expansion Specialist</t>
  </si>
  <si>
    <t>BA with experience, MA preferred</t>
  </si>
  <si>
    <t>no caseload - used as a sub or advisor</t>
  </si>
  <si>
    <t>CQI Specialist</t>
  </si>
  <si>
    <t>BA level</t>
  </si>
  <si>
    <t>Credential</t>
  </si>
  <si>
    <t>Licensed Program Expert</t>
  </si>
  <si>
    <t>Licensed (or getting licensed)</t>
  </si>
  <si>
    <t>no caseload; review any safety plan or action plan on an open case; meet with staff and supervisor if there are concerns; they produce the outcome monitoring</t>
  </si>
  <si>
    <t>no caseload</t>
  </si>
  <si>
    <t>5 families</t>
  </si>
  <si>
    <t>4-5 families</t>
  </si>
  <si>
    <t>MA level</t>
  </si>
  <si>
    <t>1 supervisor : 4 therapists</t>
  </si>
  <si>
    <t>Therapist</t>
  </si>
  <si>
    <t>Dosage</t>
  </si>
  <si>
    <t>3-5 months</t>
  </si>
  <si>
    <t>Data collection costs</t>
  </si>
  <si>
    <t>Separate I.C. rate needed for ongoing supervision and fidelity monitoring and reporting. Client Personal Allowances tripled and Staff Mileage increased by 1.5.</t>
  </si>
  <si>
    <t>Rate is based on staffing requirements from BSFT Training Institute: caseload of 10 families per 1 BSFT clinician; .5 On-Site Supervisor to oversee those 10 cases (the 5 cases that the Supervisor is required to carry is not included in this calculation); .15 Coordinator to oversee those 10 cases</t>
  </si>
  <si>
    <t>Speech and Language Pathologist / Occupational Therapist</t>
  </si>
  <si>
    <t>Client Personal Allowances increased by 1.5. Client Transportation and Staff Mileage doubled to support costs associated with community access. Meals doubled. Program Supplies &amp; Materials doubled to support registration fees.</t>
  </si>
  <si>
    <t>4 families</t>
  </si>
  <si>
    <t>Standard/session</t>
  </si>
  <si>
    <t>Group</t>
  </si>
  <si>
    <t>Groups (baselines)</t>
  </si>
  <si>
    <t>Add-Ons</t>
  </si>
  <si>
    <t>For additional family members (family add-on)</t>
  </si>
  <si>
    <t>Speciality Group</t>
  </si>
  <si>
    <t>Virtual/In-Person</t>
  </si>
  <si>
    <t>Specialty Group</t>
  </si>
  <si>
    <t>Assessments</t>
  </si>
  <si>
    <t>Youth Support and Stabilization - Therapeutic (TSS/YSS)</t>
  </si>
  <si>
    <t>Abuse/Neglect Prevention - Youth Substance Use (ANP/YSU)</t>
  </si>
  <si>
    <t>Motivational Interviewing (EBP/MI)</t>
  </si>
  <si>
    <t>Clinical Supervisor - LICSW</t>
  </si>
  <si>
    <t>Support</t>
  </si>
  <si>
    <t>LPN (CQI)</t>
  </si>
  <si>
    <t>Capacity (families)</t>
  </si>
  <si>
    <t>Clinician - LICSW</t>
  </si>
  <si>
    <t>Direct care III</t>
  </si>
  <si>
    <t>Safe &amp; Stable</t>
  </si>
  <si>
    <t>FSS/SS</t>
  </si>
  <si>
    <t>FSS/PP</t>
  </si>
  <si>
    <t>Hourly</t>
  </si>
  <si>
    <t>Program</t>
  </si>
  <si>
    <t>Model</t>
  </si>
  <si>
    <t>Prep Support</t>
  </si>
  <si>
    <t>SFT</t>
  </si>
  <si>
    <t>PS</t>
  </si>
  <si>
    <t>PP</t>
  </si>
  <si>
    <t>Therapeutic</t>
  </si>
  <si>
    <t>Abuse/ Neglect</t>
  </si>
  <si>
    <t>Daily</t>
  </si>
  <si>
    <t>Comprehensive Service</t>
  </si>
  <si>
    <t>COMP</t>
  </si>
  <si>
    <t>YSS</t>
  </si>
  <si>
    <t>FF</t>
  </si>
  <si>
    <t>E/V</t>
  </si>
  <si>
    <t>AVN</t>
  </si>
  <si>
    <t>TAY</t>
  </si>
  <si>
    <t>CTI</t>
  </si>
  <si>
    <t>EBP</t>
  </si>
  <si>
    <t>MST</t>
  </si>
  <si>
    <t>BSFT</t>
  </si>
  <si>
    <t>RESPITE</t>
  </si>
  <si>
    <t>ASSMT</t>
  </si>
  <si>
    <t>children</t>
  </si>
  <si>
    <t>Rates with red headings are new/changed for EHS to review</t>
  </si>
  <si>
    <t>Mediation</t>
  </si>
  <si>
    <t>C/TS</t>
  </si>
  <si>
    <t>COMP/YSS</t>
  </si>
  <si>
    <t>FS &amp; YS</t>
  </si>
  <si>
    <t>C &amp; Y SU</t>
  </si>
  <si>
    <t>Evidence-Based Practices for Child Welfare</t>
  </si>
  <si>
    <t>Comprehensive Services for Child Welfare</t>
  </si>
  <si>
    <t>Service</t>
  </si>
  <si>
    <t xml:space="preserve">    Mediation</t>
  </si>
  <si>
    <r>
      <t>Median</t>
    </r>
    <r>
      <rPr>
        <b/>
        <sz val="20"/>
        <color indexed="10"/>
        <rFont val="Calibri"/>
        <family val="2"/>
      </rPr>
      <t xml:space="preserve"> </t>
    </r>
  </si>
  <si>
    <t>21-1093, 31-1120, 31-2022, 31-9099</t>
  </si>
  <si>
    <t>21-1094, 21-1015, 21-1018, 21-1023, 39-1022</t>
  </si>
  <si>
    <t>21-1021, 21-1019, 21-1022, 21-1029</t>
  </si>
  <si>
    <t>19-3033, 21-1021, 21-1022, 19-3034</t>
  </si>
  <si>
    <t>Clinical Manager, Clinical Director</t>
  </si>
  <si>
    <t>19-3033, 19-3034</t>
  </si>
  <si>
    <t xml:space="preserve">Tax and Fringe =  </t>
  </si>
  <si>
    <t xml:space="preserve">Benchmarked to FY22 (approved) Commonwealth (office of the Comptroller) T&amp;F rate, less </t>
  </si>
  <si>
    <t xml:space="preserve">Terminal leave, and  retirement.  Does include Paid Family Medical Leave tax.
Includes and additional 2% to be used at providers descretion for retirement and/or other benefits
</t>
  </si>
  <si>
    <t>Misc. BLS benchmarks</t>
  </si>
  <si>
    <t>M2020 BLS Occ Code 29-1223 NAICS 622200 (Nat'l)</t>
  </si>
  <si>
    <t>M2020 BLS Occ Code 29-1229 NAICS 622200 (Nat'l)</t>
  </si>
  <si>
    <t>Physician Assistants</t>
  </si>
  <si>
    <t>M2020 BLS  Occ Code 29-1071</t>
  </si>
  <si>
    <t xml:space="preserve">LPN </t>
  </si>
  <si>
    <t>Direct Care Staffing III</t>
  </si>
  <si>
    <t>MEDIATION</t>
  </si>
  <si>
    <t>LPN - CQI</t>
  </si>
  <si>
    <t>Speech and Language</t>
  </si>
  <si>
    <t>Safe and Stable Family Services</t>
  </si>
  <si>
    <t>Preparation Support for Child Welfare</t>
  </si>
  <si>
    <r>
      <t xml:space="preserve">Doubled Client Personal Allowances for the basics necessary for the success of this service; tripled Meals. 
</t>
    </r>
    <r>
      <rPr>
        <b/>
        <sz val="11"/>
        <color theme="0"/>
        <rFont val="Calibri"/>
        <family val="2"/>
        <scheme val="minor"/>
      </rPr>
      <t>Daily rate applies when purchasing greater than 5 hours of service in a 24-hour period; hourly rate applies when purchasing less than 5 hours of service in a 24-hour period.</t>
    </r>
  </si>
  <si>
    <r>
      <t xml:space="preserve">Hourly: Resolution process for conflict/disagreement through joint sessions and separate meeting with involved parties. Issues to mediate between pre-adoptive/guardian and birth family include open adoption agreements; post-adoption visitation/contact; competing resources etc. </t>
    </r>
    <r>
      <rPr>
        <b/>
        <sz val="11"/>
        <color theme="0"/>
        <rFont val="Calibri"/>
        <family val="2"/>
        <scheme val="minor"/>
      </rPr>
      <t>(SAME RATE AS Clinical Consult Assessment - #3)</t>
    </r>
    <r>
      <rPr>
        <sz val="11"/>
        <color theme="0"/>
        <rFont val="Calibri"/>
        <family val="2"/>
        <scheme val="minor"/>
      </rPr>
      <t xml:space="preserve">
S&amp;S Adj: added client transport; added 1/2 of Client Meals</t>
    </r>
  </si>
  <si>
    <t>Mediation for Child Welfare</t>
  </si>
  <si>
    <t>Youth Support and Stabilization</t>
  </si>
  <si>
    <t>Family Crisis/ Trauma Intervention</t>
  </si>
  <si>
    <r>
      <t xml:space="preserve">IHS Markit, </t>
    </r>
    <r>
      <rPr>
        <b/>
        <sz val="12"/>
        <color indexed="10"/>
        <rFont val="Arial"/>
        <family val="2"/>
      </rPr>
      <t>Spring 2022 Forecast</t>
    </r>
  </si>
  <si>
    <t>Assumption for Rate Reviews that are to be promulgated January 2023</t>
  </si>
  <si>
    <t>FY23Q2</t>
  </si>
  <si>
    <t>January 1, 2023 - December 31, 2024</t>
  </si>
  <si>
    <t>Salary</t>
  </si>
  <si>
    <t>Benchmark</t>
  </si>
  <si>
    <t>Master Data Lookup</t>
  </si>
  <si>
    <t xml:space="preserve">    Safe &amp; Stable – Peer Support Specialist</t>
  </si>
  <si>
    <t xml:space="preserve">    Preparation Support - Supervised Family Time</t>
  </si>
  <si>
    <t xml:space="preserve">    Youth Support - Enrichment</t>
  </si>
  <si>
    <t xml:space="preserve">    Youth Support - Educational &amp; Vocational</t>
  </si>
  <si>
    <t xml:space="preserve">    Youth Support - Non School Hours for Children with Disabilities</t>
  </si>
  <si>
    <t xml:space="preserve">    Youth Support - Transition-Aged Youth</t>
  </si>
  <si>
    <t xml:space="preserve">    Evidence Based - Multi-Systemic Therapy</t>
  </si>
  <si>
    <t xml:space="preserve">    Evidence Based - Brief Strategic Family Therapy</t>
  </si>
  <si>
    <t xml:space="preserve">    Evidence Based - Intercept</t>
  </si>
  <si>
    <t xml:space="preserve">    Family Crisis/Trauma Intervention</t>
  </si>
  <si>
    <t xml:space="preserve">    Comprehensive Services – Therapeutic</t>
  </si>
  <si>
    <t xml:space="preserve">    Preparation Support - Peer Support Specialist</t>
  </si>
  <si>
    <t>Safe &amp; Stable - Peer Support Specialist</t>
  </si>
  <si>
    <t>I.C.</t>
  </si>
  <si>
    <t xml:space="preserve">Direct Care III </t>
  </si>
  <si>
    <t>Direct Care  III</t>
  </si>
  <si>
    <t>Comprehensive Service - Family</t>
  </si>
  <si>
    <t xml:space="preserve">Preparation Support </t>
  </si>
  <si>
    <t>Clinical Coordinator</t>
  </si>
  <si>
    <t>Comprehensive Services - Family Intensive</t>
  </si>
  <si>
    <t xml:space="preserve">Comprehensive Services - Family Member with a Disability </t>
  </si>
  <si>
    <t>Comprehensive Services- Therapeutic</t>
  </si>
  <si>
    <t>CAF</t>
  </si>
  <si>
    <t>Total w/ CAF</t>
  </si>
  <si>
    <t>Clerical Support</t>
  </si>
  <si>
    <t>Total w/CAF</t>
  </si>
  <si>
    <t>Purchaser Recommendation based on FY20 UFR data and change in service</t>
  </si>
  <si>
    <t>Speech &amp; Language OT Blend</t>
  </si>
  <si>
    <t xml:space="preserve">Clinical Coordinator </t>
  </si>
  <si>
    <t>Clinical Supervisor</t>
  </si>
  <si>
    <t xml:space="preserve">    Safe &amp; Stable </t>
  </si>
  <si>
    <t xml:space="preserve">    Preparation Support</t>
  </si>
  <si>
    <t xml:space="preserve">    Comprehensive Services – Family </t>
  </si>
  <si>
    <t xml:space="preserve">    Comprehensive Services – Family Intensive</t>
  </si>
  <si>
    <t>Safe &amp; Stable - Social Connections and Permancy Support</t>
  </si>
  <si>
    <t xml:space="preserve">    Therapeutic – Family</t>
  </si>
  <si>
    <t xml:space="preserve">    Therapeutic – Youth </t>
  </si>
  <si>
    <t xml:space="preserve">    Comprehensive Services – Family Member with a Disability</t>
  </si>
  <si>
    <t xml:space="preserve">    Therapeutic – Family &amp; Youth</t>
  </si>
  <si>
    <t>Therapeutic Family/Child Support for Child Welfare</t>
  </si>
  <si>
    <t xml:space="preserve">    Safe &amp; Stable –Social Connections and Permanency Support</t>
  </si>
  <si>
    <t>Assessment</t>
  </si>
  <si>
    <t>Assessment Services for Child Welfare</t>
  </si>
  <si>
    <t xml:space="preserve">    Assessment</t>
  </si>
  <si>
    <t xml:space="preserve">    Evidence Based - Multi-Systemic Therapy Ongoing Supervision / Fidelity Monitoring / report</t>
  </si>
  <si>
    <t xml:space="preserve">    Evidence Based - Intercept Ongoing Supervision / Fidelity Monitoring / report</t>
  </si>
  <si>
    <t xml:space="preserve">   Caregiver Respite – Hourly </t>
  </si>
  <si>
    <t xml:space="preserve">   Caregiver Respite – Daily </t>
  </si>
  <si>
    <t>Groups for Child Welfare</t>
  </si>
  <si>
    <t xml:space="preserve">    Child Welfare - Groups</t>
  </si>
  <si>
    <t xml:space="preserve">    Child Welfare - Specialty Groups</t>
  </si>
  <si>
    <t>Group Rate</t>
  </si>
  <si>
    <t>N/A</t>
  </si>
  <si>
    <t xml:space="preserve">Unit </t>
  </si>
  <si>
    <t>53 Percentile</t>
  </si>
  <si>
    <t>Assistant Manager</t>
  </si>
  <si>
    <t xml:space="preserve">Benchmarked to FY23 (approved) Commonwealth (office of the Comptroller) T&amp;F rate, less </t>
  </si>
  <si>
    <t>IHS Markit, Fall 2022 Forecast</t>
  </si>
  <si>
    <t>2026Q1</t>
  </si>
  <si>
    <t>2026Q2</t>
  </si>
  <si>
    <t>2026Q3</t>
  </si>
  <si>
    <t>2026Q4</t>
  </si>
  <si>
    <t>2027Q1</t>
  </si>
  <si>
    <t>2027Q2</t>
  </si>
  <si>
    <t>2027Q3</t>
  </si>
  <si>
    <t>2027Q4</t>
  </si>
  <si>
    <t>Assumption for Rate Reviews that are to be promulgated July 2023</t>
  </si>
  <si>
    <t xml:space="preserve"> </t>
  </si>
  <si>
    <t>FY24Q1</t>
  </si>
  <si>
    <t>January 1, 2024 - December 31, 2026</t>
  </si>
  <si>
    <t>Current</t>
  </si>
  <si>
    <t>S&amp;P Global Market Intelligence, Spring 2023 Forecast</t>
  </si>
  <si>
    <t>2028Q1</t>
  </si>
  <si>
    <t>2028Q2</t>
  </si>
  <si>
    <t>2028Q3</t>
  </si>
  <si>
    <t>2028Q4</t>
  </si>
  <si>
    <t>FY24Q2</t>
  </si>
  <si>
    <t>January 1, 2024 - December 31, 2025</t>
  </si>
  <si>
    <t>CAF (Apr 2023)</t>
  </si>
  <si>
    <t>Figures with a double asterisk will use a $20 per hr benchmark because the exact same information for May 2022 indicates a decrease at the 53rd percentile from the prior rate of $19 per hour.  This salary will remain constant until such time that the BLS / OEWS data exceeds this benchmark</t>
  </si>
  <si>
    <t>**</t>
  </si>
  <si>
    <t>Figures with a single asterisk utilize the May 2021 BLS / OEWS information at 53rd percentile because the exact same information for May 2022 indicates a decrease at the 53rd percentile</t>
  </si>
  <si>
    <t>*</t>
  </si>
  <si>
    <t>Important Notes</t>
  </si>
  <si>
    <t>M2022 BLS  Occ Code 49-0000 and 49-9071 (average)</t>
  </si>
  <si>
    <t>Maintenence III</t>
  </si>
  <si>
    <t>M2022 BLS  Occ Code 49-9099</t>
  </si>
  <si>
    <t>Maintenence II</t>
  </si>
  <si>
    <t>M2022 BLS  Occ Code 37-0000</t>
  </si>
  <si>
    <t>Maintenence I</t>
  </si>
  <si>
    <t>Benchmarked to Direct Care III</t>
  </si>
  <si>
    <t>Food Service III</t>
  </si>
  <si>
    <t>Average of benchmarks Direct Care and Direct Care III</t>
  </si>
  <si>
    <t>Food Service II</t>
  </si>
  <si>
    <t>Benchmarked to Direct Care</t>
  </si>
  <si>
    <t>Food Service I</t>
  </si>
  <si>
    <t>M2022 BLS  Occ Code 29-1071</t>
  </si>
  <si>
    <t>M2022 BLS  (29-1222 Physicians) National Annual Mean</t>
  </si>
  <si>
    <t>M2021 BLS  NAICS 623200 (Nat'l)   Intellectual and Developmental Disability,   Residential, Mental Health, and Substance Abuse Facilities</t>
  </si>
  <si>
    <t>Psychiatrist *</t>
  </si>
  <si>
    <r>
      <t xml:space="preserve">Clerical, Support &amp; Direct Care Relief Staff are benched to Direct Care </t>
    </r>
    <r>
      <rPr>
        <b/>
        <i/>
        <sz val="20"/>
        <color theme="1"/>
        <rFont val="Calibri"/>
        <family val="2"/>
        <scheme val="minor"/>
      </rPr>
      <t>**</t>
    </r>
  </si>
  <si>
    <t>Speech Language Pathologists (annual) *</t>
  </si>
  <si>
    <r>
      <rPr>
        <b/>
        <sz val="20"/>
        <color rgb="FFFF0000"/>
        <rFont val="Calibri"/>
        <family val="2"/>
        <scheme val="minor"/>
      </rPr>
      <t>*PLEASE SEE NOTE BELOW</t>
    </r>
    <r>
      <rPr>
        <sz val="20"/>
        <color theme="1"/>
        <rFont val="Calibri"/>
        <family val="2"/>
        <scheme val="minor"/>
      </rPr>
      <t xml:space="preserve">
29-1129, 29-1127</t>
    </r>
  </si>
  <si>
    <t>Speech Language Pathologists (hourly) *</t>
  </si>
  <si>
    <t>Occupational Therapist (annual) *</t>
  </si>
  <si>
    <r>
      <rPr>
        <b/>
        <sz val="20"/>
        <color rgb="FFFF0000"/>
        <rFont val="Calibri"/>
        <family val="2"/>
        <scheme val="minor"/>
      </rPr>
      <t>*PLEASE SEE NOTE BELOW</t>
    </r>
    <r>
      <rPr>
        <sz val="20"/>
        <color theme="1"/>
        <rFont val="Calibri"/>
        <family val="2"/>
        <scheme val="minor"/>
      </rPr>
      <t xml:space="preserve">
29-1129, 31-2011, 29-1122 (25%/25%/50%)</t>
    </r>
  </si>
  <si>
    <t>Occupational Therapist (hourly) *</t>
  </si>
  <si>
    <t>Developmental Specialist,  Triage Specialist, Medical Assistant</t>
  </si>
  <si>
    <r>
      <rPr>
        <b/>
        <sz val="20"/>
        <color rgb="FFFF0000"/>
        <rFont val="Calibri"/>
        <family val="2"/>
        <scheme val="minor"/>
      </rPr>
      <t>**PLEASE SEE NOTE BELOW</t>
    </r>
    <r>
      <rPr>
        <sz val="20"/>
        <color theme="1"/>
        <rFont val="Calibri"/>
        <family val="2"/>
        <scheme val="minor"/>
      </rPr>
      <t xml:space="preserve">
21-1093, 31-1120, 31-2022, 31-9099</t>
    </r>
  </si>
  <si>
    <t>Assumption for Rate Reviews that are to be promulgated January 2024</t>
  </si>
  <si>
    <t>S&amp;P Global Market Intelligence, Fall 2023 Forecast</t>
  </si>
  <si>
    <t>2029Q1</t>
  </si>
  <si>
    <t>2029Q2</t>
  </si>
  <si>
    <t>2029Q3</t>
  </si>
  <si>
    <t>2029Q4</t>
  </si>
  <si>
    <t>New Rates</t>
  </si>
  <si>
    <t>Assumption for new rates that are to be promulgated January 2024</t>
  </si>
  <si>
    <t>Prospective rate period: 1/1/25-12/31/26</t>
  </si>
  <si>
    <t>Substance Use Interventions for Child Welfare</t>
  </si>
  <si>
    <t xml:space="preserve">    Substance Use Interventions for Child Welfare – Youth Substance Use</t>
  </si>
  <si>
    <t xml:space="preserve">    Substance Use Interventions for Child Welfare – Caregiver Substance Use</t>
  </si>
  <si>
    <t xml:space="preserve">Respite for Child Welfare </t>
  </si>
  <si>
    <t>Substance Use Interventions for Child Welfare  – Caregiver &amp; Youth Substance Use</t>
  </si>
  <si>
    <t>Substance Use Interventions for Child Welfare  – Peer Support Specialist</t>
  </si>
  <si>
    <t>Respite for Child Welfare - Caregiver Respite</t>
  </si>
  <si>
    <t xml:space="preserve">    Substance Use Interventions for Child Welfare – Peer Support Specialist Substance Use</t>
  </si>
  <si>
    <t>FY25Q2</t>
  </si>
  <si>
    <t>BLS May 2022 @ 53rd Percentile</t>
  </si>
  <si>
    <t>January 1, 2025-December 31,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</si>
</sst>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
    <numFmt numFmtId="165" formatCode="_(&quot;$&quot;* #,##0_);_(&quot;$&quot;* \(#,##0\);_(&quot;$&quot;* &quot;-&quot;??_);_(@_)"/>
    <numFmt numFmtId="166" formatCode="0.0"/>
    <numFmt numFmtId="167" formatCode="0.0%"/>
    <numFmt numFmtId="168" formatCode="\$#,##0.00"/>
    <numFmt numFmtId="169" formatCode="&quot;$&quot;#,##0.00"/>
    <numFmt numFmtId="170" formatCode="[$-409]mmmm\ d\,\ yyyy;@"/>
    <numFmt numFmtId="171" formatCode="&quot;$&quot;#,##0"/>
    <numFmt numFmtId="172" formatCode="0.00000000000"/>
    <numFmt numFmtId="173" formatCode="&quot;$&quot;#,##0.000000000"/>
    <numFmt numFmtId="174" formatCode="0.000"/>
  </numFmts>
  <fonts count="116">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65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0"/>
      <name val="Arial"/>
      <family val="2"/>
    </font>
    <font>
      <b/>
      <sz val="11"/>
      <name val="Calibri"/>
      <family val="2"/>
      <scheme val="minor"/>
    </font>
    <font>
      <sz val="10"/>
      <name val="Arial"/>
      <family val="2"/>
    </font>
    <font>
      <b/>
      <sz val="12"/>
      <name val="Arial"/>
      <family val="2"/>
    </font>
    <font>
      <sz val="8"/>
      <color indexed="81"/>
      <name val="Tahoma"/>
      <family val="2"/>
    </font>
    <font>
      <b/>
      <sz val="8"/>
      <color indexed="81"/>
      <name val="Tahoma"/>
      <family val="2"/>
    </font>
    <font>
      <sz val="11"/>
      <color indexed="8"/>
      <name val="Calibri"/>
      <family val="2"/>
    </font>
    <font>
      <sz val="11"/>
      <color indexed="9"/>
      <name val="Calibri"/>
      <family val="2"/>
    </font>
    <font>
      <sz val="11"/>
      <color indexed="20"/>
      <name val="Calibri"/>
      <family val="2"/>
    </font>
    <font>
      <sz val="11"/>
      <color rgb="FF9C0006"/>
      <name val="Calibri"/>
      <family val="2"/>
    </font>
    <font>
      <sz val="9"/>
      <color indexed="8"/>
      <name val="Calibri"/>
      <family val="2"/>
    </font>
    <font>
      <b/>
      <sz val="11"/>
      <color indexed="52"/>
      <name val="Calibri"/>
      <family val="2"/>
    </font>
    <font>
      <b/>
      <sz val="10"/>
      <color rgb="FFFA7D00"/>
      <name val="Arial"/>
      <family val="2"/>
    </font>
    <font>
      <b/>
      <sz val="11"/>
      <color indexed="9"/>
      <name val="Calibri"/>
      <family val="2"/>
    </font>
    <font>
      <sz val="8"/>
      <color theme="1"/>
      <name val="Arial"/>
      <family val="2"/>
    </font>
    <font>
      <sz val="10"/>
      <color indexed="8"/>
      <name val="Arial"/>
      <family val="2"/>
    </font>
    <font>
      <sz val="11"/>
      <color theme="1"/>
      <name val="Calibri"/>
      <family val="2"/>
    </font>
    <font>
      <sz val="10"/>
      <color theme="1"/>
      <name val="Arial"/>
      <family val="2"/>
    </font>
    <font>
      <sz val="11"/>
      <name val="Arial"/>
      <family val="2"/>
    </font>
    <font>
      <i/>
      <sz val="11"/>
      <color indexed="23"/>
      <name val="Calibri"/>
      <family val="2"/>
    </font>
    <font>
      <sz val="11"/>
      <color indexed="17"/>
      <name val="Calibri"/>
      <family val="2"/>
    </font>
    <font>
      <b/>
      <sz val="9"/>
      <color indexed="8"/>
      <name val="Calibri"/>
      <family val="2"/>
    </font>
    <font>
      <b/>
      <sz val="15"/>
      <color indexed="56"/>
      <name val="Calibri"/>
      <family val="2"/>
    </font>
    <font>
      <b/>
      <sz val="13"/>
      <color indexed="56"/>
      <name val="Calibri"/>
      <family val="2"/>
    </font>
    <font>
      <b/>
      <sz val="11"/>
      <color indexed="56"/>
      <name val="Calibri"/>
      <family val="2"/>
    </font>
    <font>
      <u/>
      <sz val="11"/>
      <color indexed="12"/>
      <name val="Calibri"/>
      <family val="2"/>
      <charset val="1"/>
    </font>
    <font>
      <sz val="11"/>
      <color indexed="62"/>
      <name val="Calibri"/>
      <family val="2"/>
    </font>
    <font>
      <sz val="11"/>
      <color indexed="52"/>
      <name val="Calibri"/>
      <family val="2"/>
    </font>
    <font>
      <sz val="11"/>
      <color indexed="60"/>
      <name val="Calibri"/>
      <family val="2"/>
    </font>
    <font>
      <sz val="9"/>
      <name val="Microsoft Sans Serif"/>
      <family val="2"/>
    </font>
    <font>
      <sz val="9"/>
      <name val="Microsoft Sans Serif"/>
      <family val="2"/>
      <charset val="204"/>
    </font>
    <font>
      <sz val="10"/>
      <name val="MS Sans Serif"/>
      <family val="2"/>
    </font>
    <font>
      <b/>
      <sz val="11"/>
      <color indexed="63"/>
      <name val="Calibri"/>
      <family val="2"/>
    </font>
    <font>
      <sz val="11"/>
      <color theme="1"/>
      <name val="Calibri"/>
      <family val="2"/>
      <charset val="129"/>
      <scheme val="minor"/>
    </font>
    <font>
      <b/>
      <sz val="10"/>
      <name val="Calibri"/>
      <family val="2"/>
      <scheme val="minor"/>
    </font>
    <font>
      <b/>
      <sz val="12"/>
      <color indexed="30"/>
      <name val="Calibri"/>
      <family val="2"/>
    </font>
    <font>
      <b/>
      <sz val="18"/>
      <color indexed="56"/>
      <name val="Cambria"/>
      <family val="2"/>
    </font>
    <font>
      <b/>
      <sz val="11"/>
      <color indexed="8"/>
      <name val="Calibri"/>
      <family val="2"/>
    </font>
    <font>
      <sz val="11"/>
      <color indexed="10"/>
      <name val="Calibri"/>
      <family val="2"/>
    </font>
    <font>
      <i/>
      <sz val="10"/>
      <name val="Calibri"/>
      <family val="2"/>
      <scheme val="minor"/>
    </font>
    <font>
      <sz val="10"/>
      <name val="Calibri"/>
      <family val="2"/>
      <scheme val="minor"/>
    </font>
    <font>
      <b/>
      <sz val="9"/>
      <name val="Arial"/>
      <family val="2"/>
    </font>
    <font>
      <sz val="9"/>
      <name val="Arial"/>
      <family val="2"/>
    </font>
    <font>
      <i/>
      <sz val="8"/>
      <name val="Calibri"/>
      <family val="2"/>
      <scheme val="minor"/>
    </font>
    <font>
      <sz val="10"/>
      <color rgb="FF000000"/>
      <name val="Times New Roman"/>
      <family val="1"/>
    </font>
    <font>
      <sz val="10"/>
      <name val="Arial"/>
      <family val="2"/>
    </font>
    <font>
      <b/>
      <sz val="14"/>
      <name val="Arial"/>
      <family val="2"/>
    </font>
    <font>
      <b/>
      <sz val="11"/>
      <name val="Arial"/>
      <family val="2"/>
    </font>
    <font>
      <sz val="10"/>
      <color theme="0"/>
      <name val="Arial"/>
      <family val="2"/>
    </font>
    <font>
      <b/>
      <sz val="10"/>
      <color rgb="FFFF0000"/>
      <name val="Arial"/>
      <family val="2"/>
    </font>
    <font>
      <sz val="10"/>
      <color rgb="FFFF0000"/>
      <name val="Arial"/>
      <family val="2"/>
    </font>
    <font>
      <b/>
      <u/>
      <sz val="10"/>
      <name val="Arial"/>
      <family val="2"/>
    </font>
    <font>
      <b/>
      <sz val="10"/>
      <color theme="1"/>
      <name val="Calibri"/>
      <family val="2"/>
      <scheme val="minor"/>
    </font>
    <font>
      <i/>
      <sz val="11"/>
      <color rgb="FFFF0000"/>
      <name val="Calibri"/>
      <family val="2"/>
      <scheme val="minor"/>
    </font>
    <font>
      <sz val="8"/>
      <name val="Calibri"/>
      <family val="2"/>
      <scheme val="minor"/>
    </font>
    <font>
      <i/>
      <sz val="10"/>
      <color theme="1"/>
      <name val="Calibri"/>
      <family val="2"/>
      <scheme val="minor"/>
    </font>
    <font>
      <i/>
      <sz val="8"/>
      <name val="Arial"/>
      <family val="2"/>
    </font>
    <font>
      <b/>
      <sz val="10"/>
      <color indexed="8"/>
      <name val="Arial"/>
      <family val="2"/>
    </font>
    <font>
      <b/>
      <i/>
      <sz val="10"/>
      <color indexed="8"/>
      <name val="Arial"/>
      <family val="2"/>
    </font>
    <font>
      <b/>
      <i/>
      <sz val="10"/>
      <name val="Arial"/>
      <family val="2"/>
    </font>
    <font>
      <i/>
      <sz val="10"/>
      <name val="Arial"/>
      <family val="2"/>
    </font>
    <font>
      <i/>
      <sz val="10"/>
      <color indexed="8"/>
      <name val="Arial"/>
      <family val="2"/>
    </font>
    <font>
      <sz val="9"/>
      <color indexed="81"/>
      <name val="Tahoma"/>
      <family val="2"/>
    </font>
    <font>
      <b/>
      <sz val="9"/>
      <color indexed="81"/>
      <name val="Tahoma"/>
      <family val="2"/>
    </font>
    <font>
      <b/>
      <sz val="11"/>
      <color theme="1"/>
      <name val="Arial"/>
      <family val="2"/>
    </font>
    <font>
      <b/>
      <sz val="11"/>
      <color theme="1"/>
      <name val="Times New Roman"/>
      <family val="1"/>
    </font>
    <font>
      <sz val="20"/>
      <color theme="1"/>
      <name val="Calibri"/>
      <family val="2"/>
      <scheme val="minor"/>
    </font>
    <font>
      <b/>
      <sz val="20"/>
      <name val="Calibri"/>
      <family val="2"/>
      <scheme val="minor"/>
    </font>
    <font>
      <b/>
      <sz val="20"/>
      <color rgb="FFFF0000"/>
      <name val="Calibri"/>
      <family val="2"/>
      <scheme val="minor"/>
    </font>
    <font>
      <b/>
      <sz val="20"/>
      <color theme="1"/>
      <name val="Calibri"/>
      <family val="2"/>
      <scheme val="minor"/>
    </font>
    <font>
      <b/>
      <sz val="20"/>
      <color indexed="10"/>
      <name val="Calibri"/>
      <family val="2"/>
    </font>
    <font>
      <sz val="9"/>
      <color indexed="81"/>
      <name val="Tahoma"/>
      <charset val="1"/>
    </font>
    <font>
      <b/>
      <sz val="9"/>
      <color indexed="81"/>
      <name val="Tahoma"/>
      <charset val="1"/>
    </font>
    <font>
      <b/>
      <sz val="11"/>
      <color theme="0"/>
      <name val="Calibri"/>
      <family val="2"/>
      <scheme val="minor"/>
    </font>
    <font>
      <i/>
      <sz val="11"/>
      <color theme="1"/>
      <name val="Calibri"/>
      <family val="2"/>
      <scheme val="minor"/>
    </font>
    <font>
      <i/>
      <sz val="11"/>
      <name val="Calibri"/>
      <family val="2"/>
      <scheme val="minor"/>
    </font>
    <font>
      <b/>
      <sz val="11"/>
      <color indexed="8"/>
      <name val="Calibri"/>
      <family val="2"/>
      <scheme val="minor"/>
    </font>
    <font>
      <b/>
      <i/>
      <sz val="11"/>
      <color indexed="8"/>
      <name val="Calibri"/>
      <family val="2"/>
      <scheme val="minor"/>
    </font>
    <font>
      <b/>
      <i/>
      <sz val="11"/>
      <name val="Calibri"/>
      <family val="2"/>
      <scheme val="minor"/>
    </font>
    <font>
      <i/>
      <sz val="11"/>
      <color indexed="8"/>
      <name val="Calibri"/>
      <family val="2"/>
      <scheme val="minor"/>
    </font>
    <font>
      <sz val="11"/>
      <color indexed="8"/>
      <name val="Calibri"/>
      <family val="2"/>
      <scheme val="minor"/>
    </font>
    <font>
      <b/>
      <i/>
      <sz val="11"/>
      <name val="Times New Roman"/>
      <family val="1"/>
    </font>
    <font>
      <b/>
      <i/>
      <sz val="11"/>
      <color theme="1"/>
      <name val="Calibri"/>
      <family val="2"/>
      <scheme val="minor"/>
    </font>
    <font>
      <b/>
      <sz val="12"/>
      <color indexed="10"/>
      <name val="Arial"/>
      <family val="2"/>
    </font>
    <font>
      <b/>
      <sz val="10"/>
      <color theme="1"/>
      <name val="Arial"/>
      <family val="2"/>
    </font>
    <font>
      <sz val="12"/>
      <color theme="1"/>
      <name val="Calibri"/>
      <family val="2"/>
      <scheme val="minor"/>
    </font>
    <font>
      <i/>
      <sz val="12"/>
      <color theme="1"/>
      <name val="Calibri"/>
      <family val="2"/>
      <scheme val="minor"/>
    </font>
    <font>
      <b/>
      <sz val="12"/>
      <name val="Calibri"/>
      <family val="2"/>
      <scheme val="minor"/>
    </font>
    <font>
      <i/>
      <sz val="12"/>
      <name val="Calibri"/>
      <family val="2"/>
      <scheme val="minor"/>
    </font>
    <font>
      <b/>
      <sz val="12"/>
      <color indexed="8"/>
      <name val="Calibri"/>
      <family val="2"/>
      <scheme val="minor"/>
    </font>
    <font>
      <b/>
      <i/>
      <sz val="12"/>
      <color indexed="8"/>
      <name val="Calibri"/>
      <family val="2"/>
      <scheme val="minor"/>
    </font>
    <font>
      <sz val="12"/>
      <name val="Calibri"/>
      <family val="2"/>
      <scheme val="minor"/>
    </font>
    <font>
      <b/>
      <i/>
      <sz val="12"/>
      <name val="Calibri"/>
      <family val="2"/>
      <scheme val="minor"/>
    </font>
    <font>
      <i/>
      <sz val="12"/>
      <color indexed="8"/>
      <name val="Calibri"/>
      <family val="2"/>
      <scheme val="minor"/>
    </font>
    <font>
      <b/>
      <sz val="12"/>
      <color theme="1"/>
      <name val="Calibri"/>
      <family val="2"/>
      <scheme val="minor"/>
    </font>
    <font>
      <sz val="12"/>
      <color theme="0"/>
      <name val="Calibri"/>
      <family val="2"/>
      <scheme val="minor"/>
    </font>
    <font>
      <sz val="12"/>
      <color indexed="8"/>
      <name val="Calibri"/>
      <family val="2"/>
      <scheme val="minor"/>
    </font>
    <font>
      <b/>
      <sz val="12"/>
      <color theme="0"/>
      <name val="Calibri"/>
      <family val="2"/>
      <scheme val="minor"/>
    </font>
    <font>
      <sz val="10"/>
      <name val="Arial"/>
    </font>
    <font>
      <b/>
      <i/>
      <sz val="20"/>
      <color theme="1"/>
      <name val="Calibri"/>
      <family val="2"/>
      <scheme val="minor"/>
    </font>
    <font>
      <i/>
      <sz val="20"/>
      <color theme="1"/>
      <name val="Calibri"/>
      <family val="2"/>
      <scheme val="minor"/>
    </font>
    <font>
      <b/>
      <sz val="12"/>
      <color indexed="81"/>
      <name val="Tahoma"/>
      <family val="2"/>
    </font>
    <font>
      <sz val="10"/>
      <color indexed="81"/>
      <name val="Tahoma"/>
      <charset val="1"/>
    </font>
  </fonts>
  <fills count="59">
    <fill>
      <patternFill patternType="none"/>
    </fill>
    <fill>
      <patternFill patternType="gray125"/>
    </fill>
    <fill>
      <patternFill patternType="solid">
        <fgColor rgb="FFFFC7CE"/>
      </patternFill>
    </fill>
    <fill>
      <patternFill patternType="solid">
        <fgColor rgb="FFFFEB9C"/>
      </patternFill>
    </fill>
    <fill>
      <patternFill patternType="solid">
        <fgColor rgb="FFF2F2F2"/>
      </patternFill>
    </fill>
    <fill>
      <patternFill patternType="solid">
        <fgColor rgb="FFFFFFCC"/>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4FC9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indexed="27"/>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indexed="22"/>
        <bgColor indexed="64"/>
      </patternFill>
    </fill>
    <fill>
      <patternFill patternType="solid">
        <fgColor theme="9" tint="-0.249977111117893"/>
        <bgColor indexed="64"/>
      </patternFill>
    </fill>
    <fill>
      <patternFill patternType="solid">
        <fgColor rgb="FF92D050"/>
        <bgColor indexed="64"/>
      </patternFill>
    </fill>
    <fill>
      <patternFill patternType="solid">
        <fgColor theme="1" tint="0.34998626667073579"/>
        <bgColor indexed="64"/>
      </patternFill>
    </fill>
    <fill>
      <patternFill patternType="solid">
        <fgColor theme="3" tint="0.39997558519241921"/>
        <bgColor indexed="64"/>
      </patternFill>
    </fill>
    <fill>
      <patternFill patternType="solid">
        <fgColor theme="2" tint="-0.499984740745262"/>
        <bgColor indexed="64"/>
      </patternFill>
    </fill>
    <fill>
      <patternFill patternType="solid">
        <fgColor theme="8" tint="0.79995117038483843"/>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9" tint="0.59999389629810485"/>
        <bgColor indexed="64"/>
      </patternFill>
    </fill>
    <fill>
      <patternFill patternType="solid">
        <fgColor theme="3" tint="0.59999389629810485"/>
        <bgColor indexed="64"/>
      </patternFill>
    </fill>
  </fills>
  <borders count="9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style="thin">
        <color indexed="64"/>
      </left>
      <right style="medium">
        <color indexed="64"/>
      </right>
      <top style="thin">
        <color indexed="64"/>
      </top>
      <bottom style="thin">
        <color indexed="64"/>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top style="thin">
        <color indexed="8"/>
      </top>
      <bottom/>
      <diagonal/>
    </border>
    <border>
      <left style="thin">
        <color indexed="8"/>
      </left>
      <right/>
      <top/>
      <bottom/>
      <diagonal/>
    </border>
    <border>
      <left style="thin">
        <color indexed="65"/>
      </left>
      <right/>
      <top/>
      <bottom/>
      <diagonal/>
    </border>
    <border>
      <left/>
      <right/>
      <top style="thin">
        <color indexed="8"/>
      </top>
      <bottom/>
      <diagonal/>
    </border>
    <border>
      <left style="thin">
        <color indexed="8"/>
      </left>
      <right/>
      <top style="thin">
        <color indexed="65"/>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131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19" fillId="21" borderId="0" applyNumberFormat="0" applyBorder="0" applyAlignment="0" applyProtection="0"/>
    <xf numFmtId="0" fontId="19" fillId="24" borderId="0" applyNumberFormat="0" applyBorder="0" applyAlignment="0" applyProtection="0"/>
    <xf numFmtId="0" fontId="19" fillId="27" borderId="0" applyNumberFormat="0" applyBorder="0" applyAlignment="0" applyProtection="0"/>
    <xf numFmtId="0" fontId="20" fillId="28" borderId="0" applyNumberFormat="0" applyBorder="0" applyAlignment="0" applyProtection="0"/>
    <xf numFmtId="0" fontId="11" fillId="6" borderId="0" applyNumberFormat="0" applyBorder="0" applyAlignment="0" applyProtection="0"/>
    <xf numFmtId="0" fontId="20" fillId="25" borderId="0" applyNumberFormat="0" applyBorder="0" applyAlignment="0" applyProtection="0"/>
    <xf numFmtId="0" fontId="11" fillId="7" borderId="0" applyNumberFormat="0" applyBorder="0" applyAlignment="0" applyProtection="0"/>
    <xf numFmtId="0" fontId="20" fillId="26" borderId="0" applyNumberFormat="0" applyBorder="0" applyAlignment="0" applyProtection="0"/>
    <xf numFmtId="0" fontId="11" fillId="8" borderId="0" applyNumberFormat="0" applyBorder="0" applyAlignment="0" applyProtection="0"/>
    <xf numFmtId="0" fontId="20" fillId="29" borderId="0" applyNumberFormat="0" applyBorder="0" applyAlignment="0" applyProtection="0"/>
    <xf numFmtId="0" fontId="11" fillId="9" borderId="0" applyNumberFormat="0" applyBorder="0" applyAlignment="0" applyProtection="0"/>
    <xf numFmtId="0" fontId="20" fillId="30" borderId="0" applyNumberFormat="0" applyBorder="0" applyAlignment="0" applyProtection="0"/>
    <xf numFmtId="0" fontId="11" fillId="10" borderId="0" applyNumberFormat="0" applyBorder="0" applyAlignment="0" applyProtection="0"/>
    <xf numFmtId="0" fontId="20" fillId="31" borderId="0" applyNumberFormat="0" applyBorder="0" applyAlignment="0" applyProtection="0"/>
    <xf numFmtId="0" fontId="11" fillId="11" borderId="0" applyNumberFormat="0" applyBorder="0" applyAlignment="0" applyProtection="0"/>
    <xf numFmtId="0" fontId="20" fillId="32" borderId="0" applyNumberFormat="0" applyBorder="0" applyAlignment="0" applyProtection="0"/>
    <xf numFmtId="0" fontId="20" fillId="33" borderId="0" applyNumberFormat="0" applyBorder="0" applyAlignment="0" applyProtection="0"/>
    <xf numFmtId="0" fontId="20" fillId="34"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20" fillId="35" borderId="0" applyNumberFormat="0" applyBorder="0" applyAlignment="0" applyProtection="0"/>
    <xf numFmtId="0" fontId="21" fillId="19" borderId="0" applyNumberFormat="0" applyBorder="0" applyAlignment="0" applyProtection="0"/>
    <xf numFmtId="0" fontId="22" fillId="2" borderId="0" applyNumberFormat="0" applyBorder="0" applyAlignment="0" applyProtection="0"/>
    <xf numFmtId="0" fontId="23" fillId="0" borderId="39" applyNumberFormat="0" applyFont="0" applyProtection="0">
      <alignment wrapText="1"/>
    </xf>
    <xf numFmtId="0" fontId="24" fillId="36" borderId="40" applyNumberFormat="0" applyAlignment="0" applyProtection="0"/>
    <xf numFmtId="0" fontId="24" fillId="36" borderId="40" applyNumberFormat="0" applyAlignment="0" applyProtection="0"/>
    <xf numFmtId="0" fontId="24" fillId="36" borderId="40" applyNumberFormat="0" applyAlignment="0" applyProtection="0"/>
    <xf numFmtId="0" fontId="25" fillId="4" borderId="4" applyNumberFormat="0" applyAlignment="0" applyProtection="0"/>
    <xf numFmtId="0" fontId="26" fillId="37" borderId="41" applyNumberFormat="0" applyAlignment="0" applyProtection="0"/>
    <xf numFmtId="41" fontId="1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8"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5"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0" fillId="0" borderId="0" applyFont="0" applyFill="0" applyBorder="0" applyAlignment="0" applyProtection="0"/>
    <xf numFmtId="44" fontId="1" fillId="0" borderId="0" applyFont="0" applyFill="0" applyBorder="0" applyAlignment="0" applyProtection="0"/>
    <xf numFmtId="44" fontId="30" fillId="0" borderId="0" applyFont="0" applyFill="0" applyBorder="0" applyAlignment="0" applyProtection="0"/>
    <xf numFmtId="44" fontId="27"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31" fillId="0" borderId="0" applyFont="0" applyFill="0" applyBorder="0" applyAlignment="0" applyProtection="0"/>
    <xf numFmtId="44" fontId="29" fillId="0" borderId="0" applyFont="0" applyFill="0" applyBorder="0" applyAlignment="0" applyProtection="0"/>
    <xf numFmtId="44" fontId="28"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44" fontId="1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31" fillId="0" borderId="0" applyFont="0" applyFill="0" applyBorder="0" applyAlignment="0" applyProtection="0"/>
    <xf numFmtId="44" fontId="1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2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32" fillId="0" borderId="0" applyNumberFormat="0" applyFill="0" applyBorder="0" applyAlignment="0" applyProtection="0"/>
    <xf numFmtId="0" fontId="9" fillId="0" borderId="0" applyNumberFormat="0" applyFill="0" applyBorder="0" applyAlignment="0" applyProtection="0"/>
    <xf numFmtId="0" fontId="32" fillId="0" borderId="0" applyNumberFormat="0" applyFill="0" applyBorder="0" applyAlignment="0" applyProtection="0"/>
    <xf numFmtId="0" fontId="23" fillId="0" borderId="0" applyNumberFormat="0" applyFill="0" applyBorder="0" applyAlignment="0" applyProtection="0"/>
    <xf numFmtId="0" fontId="23" fillId="0" borderId="42" applyNumberFormat="0" applyProtection="0">
      <alignment wrapText="1"/>
    </xf>
    <xf numFmtId="0" fontId="33" fillId="20" borderId="0" applyNumberFormat="0" applyBorder="0" applyAlignment="0" applyProtection="0"/>
    <xf numFmtId="0" fontId="34" fillId="0" borderId="43" applyNumberFormat="0" applyProtection="0">
      <alignment wrapText="1"/>
    </xf>
    <xf numFmtId="0" fontId="35" fillId="0" borderId="44" applyNumberFormat="0" applyFill="0" applyAlignment="0" applyProtection="0"/>
    <xf numFmtId="0" fontId="3" fillId="0" borderId="1" applyNumberFormat="0" applyFill="0" applyAlignment="0" applyProtection="0"/>
    <xf numFmtId="0" fontId="35" fillId="0" borderId="44" applyNumberFormat="0" applyFill="0" applyAlignment="0" applyProtection="0"/>
    <xf numFmtId="0" fontId="36" fillId="0" borderId="45" applyNumberFormat="0" applyFill="0" applyAlignment="0" applyProtection="0"/>
    <xf numFmtId="0" fontId="4" fillId="0" borderId="2" applyNumberFormat="0" applyFill="0" applyAlignment="0" applyProtection="0"/>
    <xf numFmtId="0" fontId="36" fillId="0" borderId="45" applyNumberFormat="0" applyFill="0" applyAlignment="0" applyProtection="0"/>
    <xf numFmtId="0" fontId="37" fillId="0" borderId="46" applyNumberFormat="0" applyFill="0" applyAlignment="0" applyProtection="0"/>
    <xf numFmtId="0" fontId="5" fillId="0" borderId="3" applyNumberFormat="0" applyFill="0" applyAlignment="0" applyProtection="0"/>
    <xf numFmtId="0" fontId="37" fillId="0" borderId="46" applyNumberFormat="0" applyFill="0" applyAlignment="0" applyProtection="0"/>
    <xf numFmtId="0" fontId="37" fillId="0" borderId="0" applyNumberFormat="0" applyFill="0" applyBorder="0" applyAlignment="0" applyProtection="0"/>
    <xf numFmtId="0" fontId="5"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23" borderId="40" applyNumberFormat="0" applyAlignment="0" applyProtection="0"/>
    <xf numFmtId="0" fontId="39" fillId="23" borderId="40" applyNumberFormat="0" applyAlignment="0" applyProtection="0"/>
    <xf numFmtId="0" fontId="39" fillId="23" borderId="40" applyNumberFormat="0" applyAlignment="0" applyProtection="0"/>
    <xf numFmtId="0" fontId="40" fillId="0" borderId="47" applyNumberFormat="0" applyFill="0" applyAlignment="0" applyProtection="0"/>
    <xf numFmtId="0" fontId="7" fillId="0" borderId="5" applyNumberFormat="0" applyFill="0" applyAlignment="0" applyProtection="0"/>
    <xf numFmtId="0" fontId="40" fillId="0" borderId="47" applyNumberFormat="0" applyFill="0" applyAlignment="0" applyProtection="0"/>
    <xf numFmtId="0" fontId="41" fillId="38" borderId="0" applyNumberFormat="0" applyBorder="0" applyAlignment="0" applyProtection="0"/>
    <xf numFmtId="0" fontId="6" fillId="3" borderId="0" applyNumberFormat="0" applyBorder="0" applyAlignment="0" applyProtection="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2" fillId="0" borderId="0"/>
    <xf numFmtId="0" fontId="15"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29" fillId="0" borderId="0"/>
    <xf numFmtId="0" fontId="15" fillId="0" borderId="0"/>
    <xf numFmtId="0" fontId="28"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5"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2"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30" fillId="0" borderId="0"/>
    <xf numFmtId="0" fontId="1" fillId="0" borderId="0"/>
    <xf numFmtId="0" fontId="15" fillId="0" borderId="0"/>
    <xf numFmtId="0" fontId="1" fillId="0" borderId="0"/>
    <xf numFmtId="0" fontId="1" fillId="0" borderId="0"/>
    <xf numFmtId="0" fontId="1" fillId="0" borderId="0"/>
    <xf numFmtId="0" fontId="29"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5"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4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5"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39" borderId="48" applyNumberFormat="0" applyFont="0" applyAlignment="0" applyProtection="0"/>
    <xf numFmtId="0" fontId="28" fillId="39" borderId="48" applyNumberFormat="0" applyFont="0" applyAlignment="0" applyProtection="0"/>
    <xf numFmtId="0" fontId="28" fillId="39" borderId="48" applyNumberFormat="0" applyFont="0" applyAlignment="0" applyProtection="0"/>
    <xf numFmtId="0" fontId="15" fillId="39" borderId="48" applyNumberFormat="0" applyFont="0" applyAlignment="0" applyProtection="0"/>
    <xf numFmtId="0" fontId="45" fillId="36" borderId="49" applyNumberFormat="0" applyAlignment="0" applyProtection="0"/>
    <xf numFmtId="0" fontId="45" fillId="36" borderId="49" applyNumberFormat="0" applyAlignment="0" applyProtection="0"/>
    <xf numFmtId="0" fontId="45" fillId="36" borderId="49" applyNumberFormat="0" applyAlignment="0" applyProtection="0"/>
    <xf numFmtId="0" fontId="34" fillId="0" borderId="50" applyNumberFormat="0" applyProtection="0">
      <alignment wrapText="1"/>
    </xf>
    <xf numFmtId="9" fontId="27"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28" fillId="0" borderId="0" applyFont="0" applyFill="0" applyBorder="0" applyAlignment="0" applyProtection="0"/>
    <xf numFmtId="9" fontId="15" fillId="0" borderId="0" applyFont="0" applyFill="0" applyBorder="0" applyAlignment="0" applyProtection="0"/>
    <xf numFmtId="9" fontId="19" fillId="0" borderId="0" applyFont="0" applyFill="0" applyBorder="0" applyAlignment="0" applyProtection="0"/>
    <xf numFmtId="9" fontId="15" fillId="0" borderId="0" applyFont="0" applyFill="0" applyBorder="0" applyAlignment="0" applyProtection="0"/>
    <xf numFmtId="9" fontId="31" fillId="0" borderId="0" applyFont="0" applyFill="0" applyBorder="0" applyAlignment="0" applyProtection="0"/>
    <xf numFmtId="9" fontId="1" fillId="0" borderId="0" applyFont="0" applyFill="0" applyBorder="0" applyAlignment="0" applyProtection="0"/>
    <xf numFmtId="9" fontId="44" fillId="0" borderId="0" applyFont="0" applyFill="0" applyBorder="0" applyAlignment="0" applyProtection="0"/>
    <xf numFmtId="9" fontId="31" fillId="0" borderId="0" applyFont="0" applyFill="0" applyBorder="0" applyAlignment="0" applyProtection="0"/>
    <xf numFmtId="9" fontId="15" fillId="0" borderId="0" applyFont="0" applyFill="0" applyBorder="0" applyAlignment="0" applyProtection="0"/>
    <xf numFmtId="9" fontId="31"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46"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8" fontId="47" fillId="40" borderId="51" applyFont="0" applyFill="0" applyAlignment="0">
      <alignment horizontal="left" vertical="center" wrapText="1"/>
    </xf>
    <xf numFmtId="8" fontId="47" fillId="40" borderId="51" applyFont="0" applyFill="0" applyAlignment="0">
      <alignment horizontal="left" vertical="center" wrapText="1"/>
    </xf>
    <xf numFmtId="0" fontId="48" fillId="0" borderId="0" applyNumberFormat="0" applyProtection="0">
      <alignment horizontal="left"/>
    </xf>
    <xf numFmtId="0" fontId="49" fillId="0" borderId="0" applyNumberFormat="0" applyFill="0" applyBorder="0" applyAlignment="0" applyProtection="0"/>
    <xf numFmtId="0" fontId="2" fillId="0" borderId="0" applyNumberFormat="0" applyFill="0" applyBorder="0" applyAlignment="0" applyProtection="0"/>
    <xf numFmtId="0" fontId="49" fillId="0" borderId="0" applyNumberFormat="0" applyFill="0" applyBorder="0" applyAlignment="0" applyProtection="0"/>
    <xf numFmtId="0" fontId="2" fillId="0" borderId="0" applyNumberFormat="0" applyFill="0" applyBorder="0" applyAlignment="0" applyProtection="0"/>
    <xf numFmtId="0" fontId="50" fillId="0" borderId="52" applyNumberFormat="0" applyFill="0" applyAlignment="0" applyProtection="0"/>
    <xf numFmtId="0" fontId="50" fillId="0" borderId="52" applyNumberFormat="0" applyFill="0" applyAlignment="0" applyProtection="0"/>
    <xf numFmtId="0" fontId="50" fillId="0" borderId="52" applyNumberFormat="0" applyFill="0" applyAlignment="0" applyProtection="0"/>
    <xf numFmtId="0" fontId="51" fillId="0" borderId="0" applyNumberFormat="0" applyFill="0" applyBorder="0" applyAlignment="0" applyProtection="0"/>
    <xf numFmtId="0" fontId="8" fillId="0" borderId="0" applyNumberFormat="0" applyFill="0" applyBorder="0" applyAlignment="0" applyProtection="0"/>
    <xf numFmtId="0" fontId="51" fillId="0" borderId="0" applyNumberFormat="0" applyFill="0" applyBorder="0" applyAlignment="0" applyProtection="0"/>
    <xf numFmtId="0" fontId="1" fillId="0" borderId="0"/>
    <xf numFmtId="9" fontId="1" fillId="0" borderId="0" applyFont="0" applyFill="0" applyBorder="0" applyAlignment="0" applyProtection="0"/>
    <xf numFmtId="0" fontId="24" fillId="36" borderId="40" applyNumberFormat="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39" fillId="23" borderId="40" applyNumberFormat="0" applyAlignment="0" applyProtection="0"/>
    <xf numFmtId="0" fontId="1" fillId="0" borderId="0"/>
    <xf numFmtId="0" fontId="1" fillId="0" borderId="0"/>
    <xf numFmtId="0" fontId="1" fillId="0" borderId="0"/>
    <xf numFmtId="0" fontId="15" fillId="0" borderId="0"/>
    <xf numFmtId="0" fontId="15" fillId="0" borderId="0"/>
    <xf numFmtId="0" fontId="57" fillId="0" borderId="0"/>
    <xf numFmtId="0" fontId="1" fillId="0" borderId="0"/>
    <xf numFmtId="0" fontId="29" fillId="5" borderId="6" applyNumberFormat="0" applyFont="0" applyAlignment="0" applyProtection="0"/>
    <xf numFmtId="0" fontId="45" fillId="36" borderId="49"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8" fillId="0" borderId="0"/>
    <xf numFmtId="0" fontId="29" fillId="0" borderId="0"/>
    <xf numFmtId="0" fontId="29" fillId="0" borderId="0"/>
    <xf numFmtId="0" fontId="30" fillId="0" borderId="0">
      <alignment horizontal="left" vertical="center" wrapText="1"/>
    </xf>
    <xf numFmtId="0" fontId="30" fillId="0" borderId="0">
      <alignment horizontal="left" vertical="center" wrapText="1"/>
    </xf>
    <xf numFmtId="0" fontId="111" fillId="0" borderId="0"/>
    <xf numFmtId="3" fontId="15" fillId="0" borderId="0">
      <alignment horizontal="left" vertical="top" wrapText="1"/>
    </xf>
    <xf numFmtId="9" fontId="30" fillId="0" borderId="0" applyFont="0" applyFill="0" applyBorder="0" applyAlignment="0" applyProtection="0"/>
    <xf numFmtId="9" fontId="111" fillId="0" borderId="0" applyFont="0" applyFill="0" applyBorder="0" applyAlignment="0" applyProtection="0"/>
  </cellStyleXfs>
  <cellXfs count="1213">
    <xf numFmtId="0" fontId="0" fillId="0" borderId="0" xfId="0"/>
    <xf numFmtId="0" fontId="12" fillId="0" borderId="0" xfId="0" applyFont="1"/>
    <xf numFmtId="0" fontId="13" fillId="0" borderId="11" xfId="0" applyFont="1" applyBorder="1"/>
    <xf numFmtId="0" fontId="13" fillId="0" borderId="26" xfId="0" applyFont="1" applyBorder="1"/>
    <xf numFmtId="164" fontId="13" fillId="0" borderId="0" xfId="0" applyNumberFormat="1" applyFont="1"/>
    <xf numFmtId="0" fontId="12" fillId="0" borderId="12" xfId="0" applyFont="1" applyBorder="1"/>
    <xf numFmtId="0" fontId="12" fillId="0" borderId="11" xfId="0" applyFont="1" applyBorder="1"/>
    <xf numFmtId="0" fontId="15" fillId="0" borderId="11" xfId="0" applyFont="1" applyBorder="1"/>
    <xf numFmtId="10" fontId="15" fillId="0" borderId="0" xfId="3" applyNumberFormat="1" applyFont="1" applyBorder="1"/>
    <xf numFmtId="0" fontId="13" fillId="0" borderId="0" xfId="0" applyFont="1"/>
    <xf numFmtId="2" fontId="13" fillId="0" borderId="0" xfId="0" applyNumberFormat="1" applyFont="1"/>
    <xf numFmtId="1" fontId="13" fillId="0" borderId="0" xfId="0" applyNumberFormat="1" applyFont="1"/>
    <xf numFmtId="1" fontId="15" fillId="0" borderId="0" xfId="0" applyNumberFormat="1" applyFont="1"/>
    <xf numFmtId="9" fontId="13" fillId="0" borderId="0" xfId="3" applyFont="1" applyBorder="1"/>
    <xf numFmtId="9" fontId="13" fillId="0" borderId="0" xfId="0" applyNumberFormat="1" applyFont="1"/>
    <xf numFmtId="1" fontId="15" fillId="0" borderId="0" xfId="0" applyNumberFormat="1" applyFont="1" applyAlignment="1">
      <alignment horizontal="right"/>
    </xf>
    <xf numFmtId="10" fontId="15" fillId="0" borderId="0" xfId="0" applyNumberFormat="1" applyFont="1" applyAlignment="1">
      <alignment wrapText="1"/>
    </xf>
    <xf numFmtId="10" fontId="15" fillId="0" borderId="0" xfId="0" applyNumberFormat="1" applyFont="1"/>
    <xf numFmtId="9" fontId="15" fillId="0" borderId="0" xfId="3" applyFont="1" applyBorder="1"/>
    <xf numFmtId="0" fontId="12" fillId="0" borderId="0" xfId="0" applyFont="1" applyAlignment="1">
      <alignment wrapText="1"/>
    </xf>
    <xf numFmtId="10" fontId="13" fillId="0" borderId="0" xfId="0" applyNumberFormat="1" applyFont="1"/>
    <xf numFmtId="0" fontId="15" fillId="0" borderId="0" xfId="0" applyFont="1"/>
    <xf numFmtId="9" fontId="15" fillId="0" borderId="0" xfId="0" applyNumberFormat="1" applyFont="1" applyAlignment="1">
      <alignment vertical="center"/>
    </xf>
    <xf numFmtId="2" fontId="15" fillId="0" borderId="0" xfId="0" applyNumberFormat="1" applyFont="1" applyAlignment="1">
      <alignment horizontal="right"/>
    </xf>
    <xf numFmtId="0" fontId="13" fillId="41" borderId="0" xfId="0" applyFont="1" applyFill="1"/>
    <xf numFmtId="0" fontId="12" fillId="41" borderId="0" xfId="0" applyFont="1" applyFill="1"/>
    <xf numFmtId="170" fontId="52" fillId="0" borderId="0" xfId="0" applyNumberFormat="1" applyFont="1" applyAlignment="1">
      <alignment horizontal="left"/>
    </xf>
    <xf numFmtId="0" fontId="53" fillId="0" borderId="0" xfId="0" applyFont="1"/>
    <xf numFmtId="0" fontId="54" fillId="41" borderId="12" xfId="0" applyFont="1" applyFill="1" applyBorder="1" applyAlignment="1">
      <alignment horizontal="right"/>
    </xf>
    <xf numFmtId="0" fontId="55" fillId="41" borderId="30" xfId="0" applyFont="1" applyFill="1" applyBorder="1"/>
    <xf numFmtId="0" fontId="55" fillId="41" borderId="13" xfId="0" applyFont="1" applyFill="1" applyBorder="1"/>
    <xf numFmtId="0" fontId="55" fillId="0" borderId="0" xfId="0" applyFont="1"/>
    <xf numFmtId="0" fontId="15" fillId="0" borderId="7" xfId="0" applyFont="1" applyBorder="1"/>
    <xf numFmtId="0" fontId="15" fillId="0" borderId="8" xfId="0" applyFont="1" applyBorder="1"/>
    <xf numFmtId="0" fontId="15" fillId="0" borderId="9" xfId="0" applyFont="1" applyBorder="1"/>
    <xf numFmtId="0" fontId="55" fillId="41" borderId="11" xfId="0" applyFont="1" applyFill="1" applyBorder="1"/>
    <xf numFmtId="0" fontId="55" fillId="41" borderId="0" xfId="0" applyFont="1" applyFill="1"/>
    <xf numFmtId="0" fontId="55" fillId="41" borderId="10" xfId="0" applyFont="1" applyFill="1" applyBorder="1"/>
    <xf numFmtId="0" fontId="15" fillId="0" borderId="10" xfId="0" applyFont="1" applyBorder="1"/>
    <xf numFmtId="0" fontId="54" fillId="41" borderId="0" xfId="0" applyFont="1" applyFill="1"/>
    <xf numFmtId="0" fontId="54" fillId="41" borderId="10" xfId="0" applyFont="1" applyFill="1" applyBorder="1"/>
    <xf numFmtId="0" fontId="54" fillId="0" borderId="0" xfId="0" applyFont="1"/>
    <xf numFmtId="0" fontId="13" fillId="0" borderId="7" xfId="0" applyFont="1" applyBorder="1"/>
    <xf numFmtId="0" fontId="13" fillId="0" borderId="8" xfId="0" applyFont="1" applyBorder="1"/>
    <xf numFmtId="43" fontId="13" fillId="0" borderId="8" xfId="1" applyFont="1" applyFill="1" applyBorder="1"/>
    <xf numFmtId="0" fontId="13" fillId="0" borderId="9" xfId="0" applyFont="1" applyBorder="1"/>
    <xf numFmtId="171" fontId="55" fillId="41" borderId="0" xfId="0" applyNumberFormat="1" applyFont="1" applyFill="1"/>
    <xf numFmtId="171" fontId="55" fillId="41" borderId="10" xfId="0" applyNumberFormat="1" applyFont="1" applyFill="1" applyBorder="1"/>
    <xf numFmtId="171" fontId="55" fillId="0" borderId="0" xfId="0" applyNumberFormat="1" applyFont="1"/>
    <xf numFmtId="171" fontId="15" fillId="0" borderId="11" xfId="0" applyNumberFormat="1" applyFont="1" applyBorder="1"/>
    <xf numFmtId="171" fontId="15" fillId="0" borderId="0" xfId="0" applyNumberFormat="1" applyFont="1"/>
    <xf numFmtId="43" fontId="15" fillId="0" borderId="0" xfId="1" applyFont="1" applyFill="1" applyBorder="1"/>
    <xf numFmtId="171" fontId="15" fillId="0" borderId="10" xfId="0" applyNumberFormat="1" applyFont="1" applyBorder="1"/>
    <xf numFmtId="0" fontId="54" fillId="41" borderId="26" xfId="0" applyFont="1" applyFill="1" applyBorder="1"/>
    <xf numFmtId="0" fontId="55" fillId="41" borderId="27" xfId="0" applyFont="1" applyFill="1" applyBorder="1"/>
    <xf numFmtId="2" fontId="55" fillId="41" borderId="27" xfId="0" applyNumberFormat="1" applyFont="1" applyFill="1" applyBorder="1"/>
    <xf numFmtId="171" fontId="55" fillId="41" borderId="28" xfId="0" applyNumberFormat="1" applyFont="1" applyFill="1" applyBorder="1"/>
    <xf numFmtId="171" fontId="13" fillId="0" borderId="7" xfId="0" applyNumberFormat="1" applyFont="1" applyBorder="1"/>
    <xf numFmtId="171" fontId="13" fillId="0" borderId="8" xfId="0" applyNumberFormat="1" applyFont="1" applyBorder="1"/>
    <xf numFmtId="171" fontId="13" fillId="0" borderId="9" xfId="0" applyNumberFormat="1" applyFont="1" applyBorder="1"/>
    <xf numFmtId="9" fontId="55" fillId="41" borderId="0" xfId="0" applyNumberFormat="1" applyFont="1" applyFill="1"/>
    <xf numFmtId="10" fontId="15" fillId="0" borderId="0" xfId="3" applyNumberFormat="1" applyFont="1" applyFill="1" applyBorder="1"/>
    <xf numFmtId="169" fontId="12" fillId="0" borderId="0" xfId="0" applyNumberFormat="1" applyFont="1"/>
    <xf numFmtId="0" fontId="15" fillId="0" borderId="12" xfId="0" applyFont="1" applyBorder="1"/>
    <xf numFmtId="0" fontId="15" fillId="0" borderId="30" xfId="0" applyFont="1" applyBorder="1"/>
    <xf numFmtId="0" fontId="15" fillId="0" borderId="30" xfId="0" applyFont="1" applyBorder="1" applyAlignment="1">
      <alignment horizontal="right"/>
    </xf>
    <xf numFmtId="43" fontId="15" fillId="0" borderId="30" xfId="1" applyFont="1" applyFill="1" applyBorder="1" applyAlignment="1">
      <alignment horizontal="right"/>
    </xf>
    <xf numFmtId="0" fontId="15" fillId="0" borderId="13" xfId="0" applyFont="1" applyBorder="1"/>
    <xf numFmtId="169" fontId="55" fillId="41" borderId="0" xfId="0" applyNumberFormat="1" applyFont="1" applyFill="1"/>
    <xf numFmtId="44" fontId="15" fillId="0" borderId="0" xfId="2" applyFont="1" applyFill="1" applyBorder="1"/>
    <xf numFmtId="0" fontId="53" fillId="0" borderId="20" xfId="0" applyFont="1" applyBorder="1"/>
    <xf numFmtId="164" fontId="15" fillId="0" borderId="11" xfId="0" applyNumberFormat="1" applyFont="1" applyBorder="1"/>
    <xf numFmtId="164" fontId="15" fillId="0" borderId="0" xfId="0" applyNumberFormat="1" applyFont="1"/>
    <xf numFmtId="0" fontId="53" fillId="0" borderId="10" xfId="0" applyFont="1" applyBorder="1"/>
    <xf numFmtId="169" fontId="15" fillId="0" borderId="0" xfId="0" applyNumberFormat="1" applyFont="1"/>
    <xf numFmtId="169" fontId="55" fillId="41" borderId="28" xfId="0" applyNumberFormat="1" applyFont="1" applyFill="1" applyBorder="1"/>
    <xf numFmtId="0" fontId="47" fillId="0" borderId="8" xfId="0" applyFont="1" applyBorder="1"/>
    <xf numFmtId="171" fontId="47" fillId="0" borderId="9" xfId="0" applyNumberFormat="1" applyFont="1" applyBorder="1"/>
    <xf numFmtId="169" fontId="55" fillId="41" borderId="10" xfId="0" applyNumberFormat="1" applyFont="1" applyFill="1" applyBorder="1"/>
    <xf numFmtId="169" fontId="55" fillId="0" borderId="0" xfId="0" applyNumberFormat="1" applyFont="1"/>
    <xf numFmtId="169" fontId="15" fillId="0" borderId="7" xfId="0" applyNumberFormat="1" applyFont="1" applyBorder="1"/>
    <xf numFmtId="169" fontId="15" fillId="0" borderId="8" xfId="0" applyNumberFormat="1" applyFont="1" applyBorder="1"/>
    <xf numFmtId="43" fontId="15" fillId="0" borderId="8" xfId="1" applyFont="1" applyFill="1" applyBorder="1"/>
    <xf numFmtId="171" fontId="15" fillId="0" borderId="9" xfId="0" applyNumberFormat="1" applyFont="1" applyBorder="1"/>
    <xf numFmtId="169" fontId="15" fillId="0" borderId="11" xfId="0" applyNumberFormat="1" applyFont="1" applyBorder="1"/>
    <xf numFmtId="0" fontId="53" fillId="0" borderId="27" xfId="0" applyFont="1" applyBorder="1"/>
    <xf numFmtId="0" fontId="54" fillId="41" borderId="27" xfId="0" applyFont="1" applyFill="1" applyBorder="1"/>
    <xf numFmtId="169" fontId="54" fillId="41" borderId="54" xfId="0" applyNumberFormat="1" applyFont="1" applyFill="1" applyBorder="1"/>
    <xf numFmtId="169" fontId="13" fillId="0" borderId="11" xfId="0" applyNumberFormat="1" applyFont="1" applyBorder="1"/>
    <xf numFmtId="169" fontId="13" fillId="0" borderId="0" xfId="0" applyNumberFormat="1" applyFont="1"/>
    <xf numFmtId="43" fontId="13" fillId="0" borderId="0" xfId="1" applyFont="1" applyFill="1" applyBorder="1"/>
    <xf numFmtId="171" fontId="13" fillId="0" borderId="10" xfId="0" applyNumberFormat="1" applyFont="1" applyBorder="1"/>
    <xf numFmtId="0" fontId="55" fillId="41" borderId="53" xfId="0" applyFont="1" applyFill="1" applyBorder="1"/>
    <xf numFmtId="10" fontId="55" fillId="41" borderId="27" xfId="0" applyNumberFormat="1" applyFont="1" applyFill="1" applyBorder="1"/>
    <xf numFmtId="0" fontId="12" fillId="0" borderId="30" xfId="0" applyFont="1" applyBorder="1"/>
    <xf numFmtId="0" fontId="14" fillId="0" borderId="0" xfId="0" applyFont="1"/>
    <xf numFmtId="6" fontId="55" fillId="0" borderId="0" xfId="0" applyNumberFormat="1" applyFont="1"/>
    <xf numFmtId="6" fontId="12" fillId="0" borderId="0" xfId="0" applyNumberFormat="1" applyFont="1"/>
    <xf numFmtId="0" fontId="12" fillId="0" borderId="14" xfId="0" applyFont="1" applyBorder="1"/>
    <xf numFmtId="0" fontId="12" fillId="0" borderId="31" xfId="0" applyFont="1" applyBorder="1"/>
    <xf numFmtId="44" fontId="12" fillId="0" borderId="0" xfId="2" applyFont="1"/>
    <xf numFmtId="165" fontId="12" fillId="0" borderId="0" xfId="2" applyNumberFormat="1" applyFont="1"/>
    <xf numFmtId="165" fontId="12" fillId="44" borderId="0" xfId="0" applyNumberFormat="1" applyFont="1" applyFill="1"/>
    <xf numFmtId="0" fontId="12" fillId="44" borderId="0" xfId="0" applyFont="1" applyFill="1"/>
    <xf numFmtId="44" fontId="12" fillId="0" borderId="0" xfId="0" applyNumberFormat="1" applyFont="1"/>
    <xf numFmtId="0" fontId="47" fillId="0" borderId="0" xfId="0" applyFont="1"/>
    <xf numFmtId="0" fontId="47" fillId="0" borderId="12" xfId="0" applyFont="1" applyBorder="1" applyAlignment="1">
      <alignment horizontal="right"/>
    </xf>
    <xf numFmtId="0" fontId="53" fillId="0" borderId="30" xfId="0" applyFont="1" applyBorder="1"/>
    <xf numFmtId="0" fontId="53" fillId="0" borderId="13" xfId="0" applyFont="1" applyBorder="1"/>
    <xf numFmtId="0" fontId="47" fillId="0" borderId="11" xfId="0" applyFont="1" applyBorder="1"/>
    <xf numFmtId="0" fontId="53" fillId="0" borderId="11" xfId="0" applyFont="1" applyBorder="1"/>
    <xf numFmtId="0" fontId="47" fillId="0" borderId="0" xfId="0" applyFont="1" applyAlignment="1">
      <alignment horizontal="center"/>
    </xf>
    <xf numFmtId="0" fontId="47" fillId="0" borderId="10" xfId="0" applyFont="1" applyBorder="1" applyAlignment="1">
      <alignment horizontal="center"/>
    </xf>
    <xf numFmtId="165" fontId="53" fillId="0" borderId="0" xfId="2" applyNumberFormat="1" applyFont="1" applyBorder="1"/>
    <xf numFmtId="171" fontId="53" fillId="0" borderId="0" xfId="0" applyNumberFormat="1" applyFont="1"/>
    <xf numFmtId="171" fontId="53" fillId="0" borderId="10" xfId="0" applyNumberFormat="1" applyFont="1" applyBorder="1"/>
    <xf numFmtId="0" fontId="47" fillId="0" borderId="26" xfId="0" applyFont="1" applyBorder="1"/>
    <xf numFmtId="2" fontId="53" fillId="0" borderId="27" xfId="0" applyNumberFormat="1" applyFont="1" applyBorder="1"/>
    <xf numFmtId="171" fontId="53" fillId="0" borderId="28" xfId="0" applyNumberFormat="1" applyFont="1" applyBorder="1"/>
    <xf numFmtId="10" fontId="53" fillId="0" borderId="0" xfId="3" applyNumberFormat="1" applyFont="1" applyBorder="1"/>
    <xf numFmtId="171" fontId="53" fillId="0" borderId="11" xfId="0" applyNumberFormat="1" applyFont="1" applyBorder="1"/>
    <xf numFmtId="10" fontId="53" fillId="0" borderId="0" xfId="0" applyNumberFormat="1" applyFont="1"/>
    <xf numFmtId="9" fontId="53" fillId="0" borderId="0" xfId="0" applyNumberFormat="1" applyFont="1"/>
    <xf numFmtId="0" fontId="53" fillId="0" borderId="7" xfId="0" applyFont="1" applyBorder="1"/>
    <xf numFmtId="10" fontId="53" fillId="0" borderId="8" xfId="3" applyNumberFormat="1" applyFont="1" applyBorder="1"/>
    <xf numFmtId="0" fontId="53" fillId="0" borderId="8" xfId="0" applyFont="1" applyBorder="1"/>
    <xf numFmtId="0" fontId="53" fillId="0" borderId="9" xfId="0" applyFont="1" applyBorder="1"/>
    <xf numFmtId="169" fontId="53" fillId="0" borderId="10" xfId="0" applyNumberFormat="1" applyFont="1" applyBorder="1"/>
    <xf numFmtId="172" fontId="53" fillId="0" borderId="0" xfId="0" applyNumberFormat="1" applyFont="1"/>
    <xf numFmtId="0" fontId="53" fillId="0" borderId="58" xfId="0" applyFont="1" applyBorder="1"/>
    <xf numFmtId="10" fontId="53" fillId="0" borderId="59" xfId="0" applyNumberFormat="1" applyFont="1" applyBorder="1"/>
    <xf numFmtId="0" fontId="53" fillId="0" borderId="59" xfId="0" applyFont="1" applyBorder="1"/>
    <xf numFmtId="171" fontId="53" fillId="0" borderId="60" xfId="0" applyNumberFormat="1" applyFont="1" applyBorder="1"/>
    <xf numFmtId="10" fontId="55" fillId="41" borderId="0" xfId="0" applyNumberFormat="1" applyFont="1" applyFill="1"/>
    <xf numFmtId="10" fontId="53" fillId="0" borderId="0" xfId="3" applyNumberFormat="1" applyFont="1"/>
    <xf numFmtId="0" fontId="54" fillId="41" borderId="53" xfId="0" applyFont="1" applyFill="1" applyBorder="1"/>
    <xf numFmtId="10" fontId="54" fillId="41" borderId="27" xfId="3" applyNumberFormat="1" applyFont="1" applyFill="1" applyBorder="1"/>
    <xf numFmtId="173" fontId="54" fillId="0" borderId="0" xfId="0" applyNumberFormat="1" applyFont="1"/>
    <xf numFmtId="169" fontId="55" fillId="41" borderId="61" xfId="0" applyNumberFormat="1" applyFont="1" applyFill="1" applyBorder="1"/>
    <xf numFmtId="169" fontId="54" fillId="41" borderId="16" xfId="0" applyNumberFormat="1" applyFont="1" applyFill="1" applyBorder="1"/>
    <xf numFmtId="17" fontId="47" fillId="0" borderId="0" xfId="0" applyNumberFormat="1" applyFont="1"/>
    <xf numFmtId="17" fontId="47" fillId="0" borderId="0" xfId="0" applyNumberFormat="1" applyFont="1" applyAlignment="1">
      <alignment horizontal="right"/>
    </xf>
    <xf numFmtId="0" fontId="55" fillId="0" borderId="59" xfId="0" applyFont="1" applyBorder="1"/>
    <xf numFmtId="10" fontId="55" fillId="0" borderId="0" xfId="0" applyNumberFormat="1" applyFont="1"/>
    <xf numFmtId="169" fontId="53" fillId="0" borderId="0" xfId="0" applyNumberFormat="1" applyFont="1" applyAlignment="1">
      <alignment horizontal="left"/>
    </xf>
    <xf numFmtId="44" fontId="53" fillId="0" borderId="0" xfId="2" applyFont="1" applyFill="1" applyBorder="1"/>
    <xf numFmtId="0" fontId="13" fillId="41" borderId="12" xfId="0" applyFont="1" applyFill="1" applyBorder="1"/>
    <xf numFmtId="0" fontId="13" fillId="41" borderId="30" xfId="0" applyFont="1" applyFill="1" applyBorder="1"/>
    <xf numFmtId="0" fontId="12" fillId="41" borderId="30" xfId="0" applyFont="1" applyFill="1" applyBorder="1"/>
    <xf numFmtId="0" fontId="12" fillId="41" borderId="13" xfId="0" applyFont="1" applyFill="1" applyBorder="1"/>
    <xf numFmtId="0" fontId="12" fillId="41" borderId="11" xfId="0" applyFont="1" applyFill="1" applyBorder="1"/>
    <xf numFmtId="0" fontId="12" fillId="41" borderId="10" xfId="0" applyFont="1" applyFill="1" applyBorder="1"/>
    <xf numFmtId="170" fontId="56" fillId="0" borderId="0" xfId="0" applyNumberFormat="1" applyFont="1" applyAlignment="1">
      <alignment horizontal="left"/>
    </xf>
    <xf numFmtId="1" fontId="53" fillId="0" borderId="64" xfId="0" applyNumberFormat="1" applyFont="1" applyBorder="1" applyAlignment="1">
      <alignment horizontal="center"/>
    </xf>
    <xf numFmtId="0" fontId="47" fillId="0" borderId="10" xfId="0" applyFont="1" applyBorder="1"/>
    <xf numFmtId="171" fontId="55" fillId="41" borderId="0" xfId="0" applyNumberFormat="1" applyFont="1" applyFill="1" applyAlignment="1">
      <alignment horizontal="center"/>
    </xf>
    <xf numFmtId="40" fontId="55" fillId="41" borderId="0" xfId="0" applyNumberFormat="1" applyFont="1" applyFill="1"/>
    <xf numFmtId="40" fontId="53" fillId="0" borderId="0" xfId="0" applyNumberFormat="1" applyFont="1"/>
    <xf numFmtId="6" fontId="55" fillId="41" borderId="0" xfId="0" applyNumberFormat="1" applyFont="1" applyFill="1" applyAlignment="1">
      <alignment horizontal="center"/>
    </xf>
    <xf numFmtId="6" fontId="55" fillId="41" borderId="10" xfId="0" applyNumberFormat="1" applyFont="1" applyFill="1" applyBorder="1"/>
    <xf numFmtId="169" fontId="53" fillId="0" borderId="28" xfId="0" applyNumberFormat="1" applyFont="1" applyBorder="1"/>
    <xf numFmtId="44" fontId="53" fillId="0" borderId="0" xfId="2" applyFont="1" applyBorder="1"/>
    <xf numFmtId="169" fontId="53" fillId="0" borderId="0" xfId="0" applyNumberFormat="1" applyFont="1"/>
    <xf numFmtId="0" fontId="53" fillId="0" borderId="14" xfId="0" applyFont="1" applyBorder="1"/>
    <xf numFmtId="10" fontId="53" fillId="0" borderId="31" xfId="3" applyNumberFormat="1" applyFont="1" applyBorder="1"/>
    <xf numFmtId="0" fontId="53" fillId="0" borderId="31" xfId="0" applyFont="1" applyBorder="1"/>
    <xf numFmtId="0" fontId="53" fillId="0" borderId="15" xfId="0" applyFont="1" applyBorder="1"/>
    <xf numFmtId="169" fontId="54" fillId="41" borderId="28" xfId="0" applyNumberFormat="1" applyFont="1" applyFill="1" applyBorder="1"/>
    <xf numFmtId="0" fontId="47" fillId="0" borderId="33" xfId="0" applyFont="1" applyBorder="1"/>
    <xf numFmtId="10" fontId="47" fillId="0" borderId="34" xfId="0" applyNumberFormat="1" applyFont="1" applyBorder="1"/>
    <xf numFmtId="0" fontId="47" fillId="0" borderId="34" xfId="0" applyFont="1" applyBorder="1"/>
    <xf numFmtId="169" fontId="47" fillId="0" borderId="35" xfId="0" applyNumberFormat="1" applyFont="1" applyBorder="1"/>
    <xf numFmtId="0" fontId="55" fillId="41" borderId="26" xfId="0" applyFont="1" applyFill="1" applyBorder="1"/>
    <xf numFmtId="10" fontId="54" fillId="41" borderId="0" xfId="0" applyNumberFormat="1" applyFont="1" applyFill="1"/>
    <xf numFmtId="169" fontId="54" fillId="41" borderId="10" xfId="0" applyNumberFormat="1" applyFont="1" applyFill="1" applyBorder="1"/>
    <xf numFmtId="0" fontId="55" fillId="41" borderId="55" xfId="0" applyFont="1" applyFill="1" applyBorder="1"/>
    <xf numFmtId="0" fontId="55" fillId="41" borderId="31" xfId="0" applyFont="1" applyFill="1" applyBorder="1"/>
    <xf numFmtId="10" fontId="55" fillId="41" borderId="31" xfId="0" applyNumberFormat="1" applyFont="1" applyFill="1" applyBorder="1"/>
    <xf numFmtId="169" fontId="54" fillId="14" borderId="15" xfId="0" applyNumberFormat="1" applyFont="1" applyFill="1" applyBorder="1"/>
    <xf numFmtId="0" fontId="47" fillId="0" borderId="30" xfId="0" applyFont="1" applyBorder="1"/>
    <xf numFmtId="0" fontId="61" fillId="46" borderId="0" xfId="960" applyFont="1" applyFill="1"/>
    <xf numFmtId="0" fontId="61" fillId="47" borderId="0" xfId="960" applyFont="1" applyFill="1"/>
    <xf numFmtId="0" fontId="61" fillId="48" borderId="0" xfId="960" applyFont="1" applyFill="1"/>
    <xf numFmtId="10" fontId="13" fillId="14" borderId="67" xfId="1190" applyNumberFormat="1" applyFont="1" applyFill="1" applyBorder="1" applyAlignment="1">
      <alignment horizontal="center"/>
    </xf>
    <xf numFmtId="0" fontId="65" fillId="0" borderId="0" xfId="0" applyFont="1"/>
    <xf numFmtId="0" fontId="65" fillId="0" borderId="0" xfId="0" applyFont="1" applyAlignment="1">
      <alignment horizontal="right"/>
    </xf>
    <xf numFmtId="44" fontId="0" fillId="0" borderId="0" xfId="0" applyNumberFormat="1"/>
    <xf numFmtId="44" fontId="0" fillId="0" borderId="70" xfId="0" applyNumberFormat="1" applyBorder="1"/>
    <xf numFmtId="44" fontId="0" fillId="0" borderId="21" xfId="0" applyNumberFormat="1" applyBorder="1"/>
    <xf numFmtId="44" fontId="0" fillId="0" borderId="71" xfId="0" applyNumberFormat="1" applyBorder="1"/>
    <xf numFmtId="0" fontId="0" fillId="0" borderId="72" xfId="0" applyBorder="1"/>
    <xf numFmtId="0" fontId="0" fillId="51" borderId="72" xfId="0" applyFill="1" applyBorder="1"/>
    <xf numFmtId="0" fontId="0" fillId="0" borderId="73" xfId="0" applyBorder="1" applyAlignment="1">
      <alignment wrapText="1"/>
    </xf>
    <xf numFmtId="0" fontId="0" fillId="0" borderId="74" xfId="0" applyBorder="1" applyAlignment="1">
      <alignment wrapText="1"/>
    </xf>
    <xf numFmtId="0" fontId="0" fillId="0" borderId="72" xfId="0" applyBorder="1" applyAlignment="1">
      <alignment wrapText="1"/>
    </xf>
    <xf numFmtId="0" fontId="0" fillId="51" borderId="72" xfId="0" applyFill="1" applyBorder="1" applyAlignment="1">
      <alignment wrapText="1"/>
    </xf>
    <xf numFmtId="0" fontId="0" fillId="0" borderId="75" xfId="0" applyBorder="1"/>
    <xf numFmtId="44" fontId="0" fillId="0" borderId="72" xfId="0" applyNumberFormat="1" applyBorder="1"/>
    <xf numFmtId="44" fontId="0" fillId="51" borderId="21" xfId="0" applyNumberFormat="1" applyFill="1" applyBorder="1"/>
    <xf numFmtId="44" fontId="0" fillId="0" borderId="75" xfId="0" applyNumberFormat="1" applyBorder="1"/>
    <xf numFmtId="0" fontId="0" fillId="0" borderId="76" xfId="0" applyBorder="1"/>
    <xf numFmtId="44" fontId="0" fillId="0" borderId="73" xfId="0" applyNumberFormat="1" applyBorder="1"/>
    <xf numFmtId="0" fontId="29" fillId="0" borderId="0" xfId="1310"/>
    <xf numFmtId="0" fontId="29" fillId="0" borderId="0" xfId="1311"/>
    <xf numFmtId="0" fontId="53" fillId="0" borderId="17" xfId="0" applyFont="1" applyBorder="1"/>
    <xf numFmtId="0" fontId="53" fillId="0" borderId="22" xfId="0" applyFont="1" applyBorder="1"/>
    <xf numFmtId="0" fontId="53" fillId="0" borderId="23" xfId="0" applyFont="1" applyBorder="1"/>
    <xf numFmtId="44" fontId="53" fillId="0" borderId="0" xfId="2" applyFont="1"/>
    <xf numFmtId="0" fontId="53" fillId="52" borderId="26" xfId="0" applyFont="1" applyFill="1" applyBorder="1"/>
    <xf numFmtId="10" fontId="53" fillId="52" borderId="27" xfId="0" applyNumberFormat="1" applyFont="1" applyFill="1" applyBorder="1"/>
    <xf numFmtId="44" fontId="47" fillId="52" borderId="28" xfId="2" applyFont="1" applyFill="1" applyBorder="1"/>
    <xf numFmtId="10" fontId="53" fillId="52" borderId="0" xfId="3" applyNumberFormat="1" applyFont="1" applyFill="1"/>
    <xf numFmtId="10" fontId="47" fillId="52" borderId="0" xfId="3" applyNumberFormat="1" applyFont="1" applyFill="1"/>
    <xf numFmtId="167" fontId="53" fillId="0" borderId="0" xfId="3" applyNumberFormat="1" applyFont="1" applyBorder="1"/>
    <xf numFmtId="0" fontId="47" fillId="52" borderId="7" xfId="0" applyFont="1" applyFill="1" applyBorder="1"/>
    <xf numFmtId="10" fontId="53" fillId="52" borderId="8" xfId="0" applyNumberFormat="1" applyFont="1" applyFill="1" applyBorder="1"/>
    <xf numFmtId="10" fontId="47" fillId="52" borderId="8" xfId="0" applyNumberFormat="1" applyFont="1" applyFill="1" applyBorder="1"/>
    <xf numFmtId="169" fontId="47" fillId="52" borderId="9" xfId="0" applyNumberFormat="1" applyFont="1" applyFill="1" applyBorder="1"/>
    <xf numFmtId="169" fontId="13" fillId="52" borderId="14" xfId="0" applyNumberFormat="1" applyFont="1" applyFill="1" applyBorder="1"/>
    <xf numFmtId="169" fontId="13" fillId="52" borderId="31" xfId="0" applyNumberFormat="1" applyFont="1" applyFill="1" applyBorder="1"/>
    <xf numFmtId="169" fontId="13" fillId="52" borderId="15" xfId="0" applyNumberFormat="1" applyFont="1" applyFill="1" applyBorder="1"/>
    <xf numFmtId="0" fontId="53" fillId="41" borderId="0" xfId="0" applyFont="1" applyFill="1"/>
    <xf numFmtId="0" fontId="13" fillId="41" borderId="12" xfId="0" applyFont="1" applyFill="1" applyBorder="1" applyAlignment="1">
      <alignment horizontal="right"/>
    </xf>
    <xf numFmtId="0" fontId="15" fillId="41" borderId="30" xfId="0" applyFont="1" applyFill="1" applyBorder="1"/>
    <xf numFmtId="0" fontId="15" fillId="41" borderId="13" xfId="0" applyFont="1" applyFill="1" applyBorder="1"/>
    <xf numFmtId="0" fontId="47" fillId="42" borderId="12" xfId="0" applyFont="1" applyFill="1" applyBorder="1" applyAlignment="1">
      <alignment horizontal="center"/>
    </xf>
    <xf numFmtId="0" fontId="13" fillId="42" borderId="30" xfId="0" applyFont="1" applyFill="1" applyBorder="1"/>
    <xf numFmtId="0" fontId="47" fillId="43" borderId="30" xfId="0" applyFont="1" applyFill="1" applyBorder="1"/>
    <xf numFmtId="0" fontId="53" fillId="43" borderId="30" xfId="0" applyFont="1" applyFill="1" applyBorder="1"/>
    <xf numFmtId="0" fontId="47" fillId="43" borderId="13" xfId="0" applyFont="1" applyFill="1" applyBorder="1"/>
    <xf numFmtId="0" fontId="15" fillId="41" borderId="11" xfId="0" applyFont="1" applyFill="1" applyBorder="1"/>
    <xf numFmtId="0" fontId="15" fillId="41" borderId="0" xfId="0" applyFont="1" applyFill="1"/>
    <xf numFmtId="0" fontId="15" fillId="41" borderId="10" xfId="0" applyFont="1" applyFill="1" applyBorder="1"/>
    <xf numFmtId="0" fontId="53" fillId="0" borderId="12" xfId="0" applyFont="1" applyBorder="1"/>
    <xf numFmtId="171" fontId="53" fillId="0" borderId="30" xfId="2" applyNumberFormat="1" applyFont="1" applyBorder="1"/>
    <xf numFmtId="0" fontId="47" fillId="0" borderId="13" xfId="0" applyFont="1" applyBorder="1"/>
    <xf numFmtId="0" fontId="13" fillId="41" borderId="10" xfId="0" applyFont="1" applyFill="1" applyBorder="1"/>
    <xf numFmtId="0" fontId="13" fillId="0" borderId="10" xfId="0" applyFont="1" applyBorder="1"/>
    <xf numFmtId="171" fontId="53" fillId="0" borderId="0" xfId="2" applyNumberFormat="1" applyFont="1" applyBorder="1"/>
    <xf numFmtId="171" fontId="15" fillId="41" borderId="0" xfId="0" applyNumberFormat="1" applyFont="1" applyFill="1"/>
    <xf numFmtId="171" fontId="15" fillId="41" borderId="10" xfId="0" applyNumberFormat="1" applyFont="1" applyFill="1" applyBorder="1"/>
    <xf numFmtId="169" fontId="15" fillId="0" borderId="10" xfId="0" applyNumberFormat="1" applyFont="1" applyBorder="1"/>
    <xf numFmtId="171" fontId="53" fillId="0" borderId="31" xfId="2" applyNumberFormat="1" applyFont="1" applyBorder="1"/>
    <xf numFmtId="0" fontId="47" fillId="0" borderId="31" xfId="0" applyFont="1" applyBorder="1"/>
    <xf numFmtId="0" fontId="47" fillId="0" borderId="15" xfId="0" applyFont="1" applyBorder="1"/>
    <xf numFmtId="0" fontId="13" fillId="41" borderId="26" xfId="0" applyFont="1" applyFill="1" applyBorder="1"/>
    <xf numFmtId="0" fontId="15" fillId="41" borderId="27" xfId="0" applyFont="1" applyFill="1" applyBorder="1"/>
    <xf numFmtId="2" fontId="15" fillId="41" borderId="27" xfId="0" applyNumberFormat="1" applyFont="1" applyFill="1" applyBorder="1"/>
    <xf numFmtId="171" fontId="15" fillId="41" borderId="28" xfId="0" applyNumberFormat="1" applyFont="1" applyFill="1" applyBorder="1"/>
    <xf numFmtId="0" fontId="15" fillId="0" borderId="27" xfId="0" applyFont="1" applyBorder="1"/>
    <xf numFmtId="2" fontId="15" fillId="0" borderId="27" xfId="0" applyNumberFormat="1" applyFont="1" applyBorder="1"/>
    <xf numFmtId="171" fontId="15" fillId="0" borderId="28" xfId="0" applyNumberFormat="1" applyFont="1" applyBorder="1"/>
    <xf numFmtId="9" fontId="15" fillId="41" borderId="0" xfId="0" applyNumberFormat="1" applyFont="1" applyFill="1"/>
    <xf numFmtId="9" fontId="15" fillId="0" borderId="0" xfId="0" applyNumberFormat="1" applyFont="1"/>
    <xf numFmtId="0" fontId="15" fillId="41" borderId="0" xfId="0" applyFont="1" applyFill="1" applyAlignment="1">
      <alignment horizontal="right"/>
    </xf>
    <xf numFmtId="0" fontId="15" fillId="0" borderId="0" xfId="0" applyFont="1" applyAlignment="1">
      <alignment horizontal="right"/>
    </xf>
    <xf numFmtId="165" fontId="15" fillId="0" borderId="0" xfId="2" applyNumberFormat="1" applyFont="1" applyBorder="1"/>
    <xf numFmtId="165" fontId="15" fillId="0" borderId="0" xfId="0" applyNumberFormat="1" applyFont="1"/>
    <xf numFmtId="169" fontId="15" fillId="41" borderId="0" xfId="0" applyNumberFormat="1" applyFont="1" applyFill="1"/>
    <xf numFmtId="44" fontId="15" fillId="0" borderId="0" xfId="0" applyNumberFormat="1" applyFont="1"/>
    <xf numFmtId="164" fontId="15" fillId="41" borderId="10" xfId="0" applyNumberFormat="1" applyFont="1" applyFill="1" applyBorder="1"/>
    <xf numFmtId="169" fontId="15" fillId="41" borderId="28" xfId="0" applyNumberFormat="1" applyFont="1" applyFill="1" applyBorder="1"/>
    <xf numFmtId="10" fontId="15" fillId="41" borderId="0" xfId="3" applyNumberFormat="1" applyFont="1" applyFill="1" applyBorder="1"/>
    <xf numFmtId="169" fontId="15" fillId="41" borderId="10" xfId="0" applyNumberFormat="1" applyFont="1" applyFill="1" applyBorder="1"/>
    <xf numFmtId="169" fontId="15" fillId="0" borderId="28" xfId="0" applyNumberFormat="1" applyFont="1" applyBorder="1"/>
    <xf numFmtId="0" fontId="13" fillId="41" borderId="27" xfId="0" applyFont="1" applyFill="1" applyBorder="1"/>
    <xf numFmtId="169" fontId="13" fillId="41" borderId="54" xfId="0" applyNumberFormat="1" applyFont="1" applyFill="1" applyBorder="1"/>
    <xf numFmtId="0" fontId="15" fillId="41" borderId="53" xfId="0" applyFont="1" applyFill="1" applyBorder="1"/>
    <xf numFmtId="10" fontId="15" fillId="41" borderId="27" xfId="0" applyNumberFormat="1" applyFont="1" applyFill="1" applyBorder="1"/>
    <xf numFmtId="169" fontId="15" fillId="41" borderId="54" xfId="0" applyNumberFormat="1" applyFont="1" applyFill="1" applyBorder="1"/>
    <xf numFmtId="0" fontId="13" fillId="0" borderId="27" xfId="0" applyFont="1" applyBorder="1"/>
    <xf numFmtId="169" fontId="13" fillId="0" borderId="28" xfId="0" applyNumberFormat="1" applyFont="1" applyBorder="1"/>
    <xf numFmtId="0" fontId="15" fillId="13" borderId="26" xfId="0" applyFont="1" applyFill="1" applyBorder="1"/>
    <xf numFmtId="0" fontId="15" fillId="13" borderId="27" xfId="0" applyFont="1" applyFill="1" applyBorder="1"/>
    <xf numFmtId="10" fontId="15" fillId="13" borderId="27" xfId="0" applyNumberFormat="1" applyFont="1" applyFill="1" applyBorder="1"/>
    <xf numFmtId="169" fontId="15" fillId="13" borderId="28" xfId="0" applyNumberFormat="1" applyFont="1" applyFill="1" applyBorder="1"/>
    <xf numFmtId="0" fontId="15" fillId="13" borderId="55" xfId="0" applyFont="1" applyFill="1" applyBorder="1"/>
    <xf numFmtId="0" fontId="15" fillId="13" borderId="56" xfId="0" applyFont="1" applyFill="1" applyBorder="1"/>
    <xf numFmtId="10" fontId="15" fillId="13" borderId="56" xfId="0" applyNumberFormat="1" applyFont="1" applyFill="1" applyBorder="1"/>
    <xf numFmtId="169" fontId="15" fillId="13" borderId="57" xfId="0" applyNumberFormat="1" applyFont="1" applyFill="1" applyBorder="1"/>
    <xf numFmtId="0" fontId="53" fillId="0" borderId="25" xfId="0" applyFont="1" applyBorder="1"/>
    <xf numFmtId="164" fontId="53" fillId="0" borderId="11" xfId="0" applyNumberFormat="1" applyFont="1" applyBorder="1"/>
    <xf numFmtId="6" fontId="53" fillId="0" borderId="0" xfId="0" applyNumberFormat="1" applyFont="1"/>
    <xf numFmtId="164" fontId="53" fillId="0" borderId="10" xfId="0" applyNumberFormat="1" applyFont="1" applyBorder="1"/>
    <xf numFmtId="0" fontId="47" fillId="0" borderId="16" xfId="0" applyFont="1" applyBorder="1" applyAlignment="1">
      <alignment horizontal="center"/>
    </xf>
    <xf numFmtId="164" fontId="53" fillId="0" borderId="12" xfId="0" applyNumberFormat="1" applyFont="1" applyBorder="1"/>
    <xf numFmtId="165" fontId="53" fillId="0" borderId="0" xfId="0" applyNumberFormat="1" applyFont="1"/>
    <xf numFmtId="2" fontId="53" fillId="0" borderId="17" xfId="0" applyNumberFormat="1" applyFont="1" applyBorder="1" applyAlignment="1">
      <alignment horizontal="center"/>
    </xf>
    <xf numFmtId="2" fontId="53" fillId="0" borderId="18" xfId="0" applyNumberFormat="1" applyFont="1" applyBorder="1" applyAlignment="1">
      <alignment horizontal="center"/>
    </xf>
    <xf numFmtId="2" fontId="53" fillId="0" borderId="19" xfId="0" applyNumberFormat="1" applyFont="1" applyBorder="1" applyAlignment="1">
      <alignment horizontal="center"/>
    </xf>
    <xf numFmtId="166" fontId="53" fillId="0" borderId="11" xfId="0" applyNumberFormat="1" applyFont="1" applyBorder="1"/>
    <xf numFmtId="2" fontId="53" fillId="0" borderId="20" xfId="0" applyNumberFormat="1" applyFont="1" applyBorder="1" applyAlignment="1">
      <alignment horizontal="center"/>
    </xf>
    <xf numFmtId="2" fontId="53" fillId="0" borderId="21" xfId="0" applyNumberFormat="1" applyFont="1" applyBorder="1" applyAlignment="1">
      <alignment horizontal="center"/>
    </xf>
    <xf numFmtId="2" fontId="53" fillId="0" borderId="22" xfId="0" applyNumberFormat="1" applyFont="1" applyBorder="1" applyAlignment="1">
      <alignment horizontal="center"/>
    </xf>
    <xf numFmtId="166" fontId="53" fillId="0" borderId="14" xfId="0" applyNumberFormat="1" applyFont="1" applyBorder="1"/>
    <xf numFmtId="2" fontId="53" fillId="0" borderId="23" xfId="0" applyNumberFormat="1" applyFont="1" applyBorder="1" applyAlignment="1">
      <alignment horizontal="center"/>
    </xf>
    <xf numFmtId="2" fontId="53" fillId="0" borderId="24" xfId="0" applyNumberFormat="1" applyFont="1" applyBorder="1" applyAlignment="1">
      <alignment horizontal="center"/>
    </xf>
    <xf numFmtId="2" fontId="53" fillId="0" borderId="25" xfId="0" applyNumberFormat="1" applyFont="1" applyBorder="1" applyAlignment="1">
      <alignment horizontal="center"/>
    </xf>
    <xf numFmtId="0" fontId="47" fillId="0" borderId="29" xfId="0" applyFont="1" applyBorder="1" applyAlignment="1">
      <alignment horizontal="center"/>
    </xf>
    <xf numFmtId="10" fontId="53" fillId="0" borderId="30" xfId="0" applyNumberFormat="1" applyFont="1" applyBorder="1" applyAlignment="1">
      <alignment horizontal="center"/>
    </xf>
    <xf numFmtId="0" fontId="53" fillId="0" borderId="19" xfId="0" applyFont="1" applyBorder="1"/>
    <xf numFmtId="10" fontId="53" fillId="0" borderId="0" xfId="0" applyNumberFormat="1" applyFont="1" applyAlignment="1">
      <alignment horizontal="center"/>
    </xf>
    <xf numFmtId="0" fontId="53" fillId="0" borderId="21" xfId="0" applyFont="1" applyBorder="1"/>
    <xf numFmtId="0" fontId="53" fillId="0" borderId="26" xfId="0" applyFont="1" applyBorder="1"/>
    <xf numFmtId="164" fontId="53" fillId="0" borderId="27" xfId="0" applyNumberFormat="1" applyFont="1" applyBorder="1"/>
    <xf numFmtId="2" fontId="53" fillId="0" borderId="27" xfId="0" applyNumberFormat="1" applyFont="1" applyBorder="1" applyAlignment="1">
      <alignment horizontal="center"/>
    </xf>
    <xf numFmtId="164" fontId="53" fillId="0" borderId="0" xfId="0" applyNumberFormat="1" applyFont="1"/>
    <xf numFmtId="165" fontId="53" fillId="0" borderId="0" xfId="2" applyNumberFormat="1" applyFont="1" applyFill="1" applyBorder="1" applyAlignment="1">
      <alignment horizontal="center"/>
    </xf>
    <xf numFmtId="2" fontId="53" fillId="0" borderId="0" xfId="0" applyNumberFormat="1" applyFont="1" applyAlignment="1">
      <alignment horizontal="center"/>
    </xf>
    <xf numFmtId="0" fontId="53" fillId="13" borderId="14" xfId="0" applyFont="1" applyFill="1" applyBorder="1"/>
    <xf numFmtId="0" fontId="53" fillId="13" borderId="31" xfId="0" applyFont="1" applyFill="1" applyBorder="1" applyAlignment="1">
      <alignment horizontal="center"/>
    </xf>
    <xf numFmtId="10" fontId="53" fillId="13" borderId="23" xfId="0" applyNumberFormat="1" applyFont="1" applyFill="1" applyBorder="1"/>
    <xf numFmtId="10" fontId="53" fillId="13" borderId="24" xfId="3" applyNumberFormat="1" applyFont="1" applyFill="1" applyBorder="1"/>
    <xf numFmtId="10" fontId="53" fillId="13" borderId="25" xfId="3" applyNumberFormat="1" applyFont="1" applyFill="1" applyBorder="1"/>
    <xf numFmtId="10" fontId="53" fillId="0" borderId="8" xfId="0" applyNumberFormat="1" applyFont="1" applyBorder="1" applyAlignment="1">
      <alignment horizontal="center"/>
    </xf>
    <xf numFmtId="0" fontId="53" fillId="0" borderId="32" xfId="0" applyFont="1" applyBorder="1"/>
    <xf numFmtId="0" fontId="53" fillId="0" borderId="0" xfId="0" applyFont="1" applyAlignment="1">
      <alignment horizontal="center"/>
    </xf>
    <xf numFmtId="165" fontId="53" fillId="0" borderId="0" xfId="2" applyNumberFormat="1" applyFont="1" applyFill="1" applyBorder="1"/>
    <xf numFmtId="2" fontId="53" fillId="0" borderId="0" xfId="0" applyNumberFormat="1" applyFont="1"/>
    <xf numFmtId="167" fontId="53" fillId="0" borderId="0" xfId="0" applyNumberFormat="1" applyFont="1"/>
    <xf numFmtId="41" fontId="53" fillId="0" borderId="0" xfId="0" applyNumberFormat="1" applyFont="1"/>
    <xf numFmtId="1" fontId="53" fillId="0" borderId="0" xfId="0" applyNumberFormat="1" applyFont="1" applyAlignment="1">
      <alignment horizontal="right"/>
    </xf>
    <xf numFmtId="0" fontId="53" fillId="0" borderId="0" xfId="0" applyFont="1" applyAlignment="1">
      <alignment wrapText="1"/>
    </xf>
    <xf numFmtId="166" fontId="53" fillId="0" borderId="0" xfId="0" applyNumberFormat="1" applyFont="1"/>
    <xf numFmtId="41" fontId="53" fillId="16" borderId="0" xfId="0" applyNumberFormat="1" applyFont="1" applyFill="1"/>
    <xf numFmtId="41" fontId="53" fillId="17" borderId="0" xfId="0" applyNumberFormat="1" applyFont="1" applyFill="1"/>
    <xf numFmtId="168" fontId="53" fillId="0" borderId="0" xfId="0" applyNumberFormat="1" applyFont="1"/>
    <xf numFmtId="1" fontId="47" fillId="0" borderId="0" xfId="0" applyNumberFormat="1" applyFont="1" applyAlignment="1">
      <alignment horizontal="center"/>
    </xf>
    <xf numFmtId="164" fontId="47" fillId="0" borderId="10" xfId="0" applyNumberFormat="1" applyFont="1" applyBorder="1" applyAlignment="1">
      <alignment horizontal="center"/>
    </xf>
    <xf numFmtId="164" fontId="47" fillId="0" borderId="10" xfId="0" applyNumberFormat="1" applyFont="1" applyBorder="1"/>
    <xf numFmtId="164" fontId="47" fillId="0" borderId="27" xfId="0" applyNumberFormat="1" applyFont="1" applyBorder="1"/>
    <xf numFmtId="2" fontId="47" fillId="0" borderId="27" xfId="0" applyNumberFormat="1" applyFont="1" applyBorder="1" applyAlignment="1">
      <alignment horizontal="center"/>
    </xf>
    <xf numFmtId="164" fontId="47" fillId="0" borderId="28" xfId="0" applyNumberFormat="1" applyFont="1" applyBorder="1"/>
    <xf numFmtId="164" fontId="47" fillId="0" borderId="0" xfId="0" applyNumberFormat="1" applyFont="1"/>
    <xf numFmtId="2" fontId="47" fillId="0" borderId="0" xfId="0" applyNumberFormat="1" applyFont="1" applyAlignment="1">
      <alignment horizontal="center"/>
    </xf>
    <xf numFmtId="10" fontId="53" fillId="0" borderId="0" xfId="3" applyNumberFormat="1" applyFont="1" applyFill="1" applyBorder="1" applyAlignment="1">
      <alignment vertical="center"/>
    </xf>
    <xf numFmtId="1" fontId="53" fillId="0" borderId="0" xfId="0" applyNumberFormat="1" applyFont="1" applyAlignment="1">
      <alignment horizontal="center"/>
    </xf>
    <xf numFmtId="167" fontId="47" fillId="0" borderId="10" xfId="3" applyNumberFormat="1" applyFont="1" applyBorder="1"/>
    <xf numFmtId="0" fontId="47" fillId="0" borderId="36" xfId="0" applyFont="1" applyBorder="1"/>
    <xf numFmtId="164" fontId="47" fillId="0" borderId="37" xfId="0" applyNumberFormat="1" applyFont="1" applyBorder="1"/>
    <xf numFmtId="2" fontId="47" fillId="0" borderId="37" xfId="0" applyNumberFormat="1" applyFont="1" applyBorder="1" applyAlignment="1">
      <alignment horizontal="center"/>
    </xf>
    <xf numFmtId="164" fontId="47" fillId="0" borderId="38" xfId="0" applyNumberFormat="1" applyFont="1" applyBorder="1"/>
    <xf numFmtId="168" fontId="53" fillId="0" borderId="10" xfId="0" applyNumberFormat="1" applyFont="1" applyBorder="1"/>
    <xf numFmtId="0" fontId="47" fillId="0" borderId="14" xfId="0" applyFont="1" applyBorder="1"/>
    <xf numFmtId="10" fontId="47" fillId="0" borderId="31" xfId="3" applyNumberFormat="1" applyFont="1" applyBorder="1"/>
    <xf numFmtId="2" fontId="47" fillId="0" borderId="31" xfId="0" applyNumberFormat="1" applyFont="1" applyBorder="1" applyAlignment="1">
      <alignment horizontal="center"/>
    </xf>
    <xf numFmtId="169" fontId="47" fillId="14" borderId="15" xfId="0" applyNumberFormat="1" applyFont="1" applyFill="1" applyBorder="1"/>
    <xf numFmtId="2" fontId="47" fillId="15" borderId="0" xfId="0" applyNumberFormat="1" applyFont="1" applyFill="1"/>
    <xf numFmtId="168" fontId="47" fillId="0" borderId="0" xfId="0" applyNumberFormat="1" applyFont="1"/>
    <xf numFmtId="10" fontId="47" fillId="0" borderId="0" xfId="3" applyNumberFormat="1" applyFont="1" applyBorder="1"/>
    <xf numFmtId="2" fontId="47" fillId="0" borderId="0" xfId="0" applyNumberFormat="1" applyFont="1"/>
    <xf numFmtId="1" fontId="47" fillId="0" borderId="0" xfId="0" applyNumberFormat="1" applyFont="1"/>
    <xf numFmtId="10" fontId="53" fillId="0" borderId="0" xfId="0" applyNumberFormat="1" applyFont="1" applyAlignment="1">
      <alignment vertical="center"/>
    </xf>
    <xf numFmtId="1" fontId="53" fillId="0" borderId="0" xfId="0" applyNumberFormat="1" applyFont="1"/>
    <xf numFmtId="2" fontId="47" fillId="0" borderId="37" xfId="0" applyNumberFormat="1" applyFont="1" applyBorder="1"/>
    <xf numFmtId="10" fontId="47" fillId="0" borderId="31" xfId="0" applyNumberFormat="1" applyFont="1" applyBorder="1"/>
    <xf numFmtId="2" fontId="47" fillId="0" borderId="31" xfId="0" applyNumberFormat="1" applyFont="1" applyBorder="1"/>
    <xf numFmtId="168" fontId="47" fillId="14" borderId="15" xfId="0" applyNumberFormat="1" applyFont="1" applyFill="1" applyBorder="1"/>
    <xf numFmtId="9" fontId="47" fillId="0" borderId="0" xfId="3" applyFont="1" applyBorder="1"/>
    <xf numFmtId="10" fontId="53" fillId="0" borderId="31" xfId="3" applyNumberFormat="1" applyFont="1" applyFill="1" applyBorder="1" applyAlignment="1">
      <alignment vertical="center"/>
    </xf>
    <xf numFmtId="9" fontId="47" fillId="0" borderId="0" xfId="0" applyNumberFormat="1" applyFont="1"/>
    <xf numFmtId="10" fontId="53" fillId="0" borderId="0" xfId="0" applyNumberFormat="1" applyFont="1" applyAlignment="1">
      <alignment wrapText="1"/>
    </xf>
    <xf numFmtId="9" fontId="53" fillId="0" borderId="0" xfId="3" applyFont="1" applyBorder="1"/>
    <xf numFmtId="0" fontId="47" fillId="0" borderId="0" xfId="0" applyFont="1" applyAlignment="1">
      <alignment vertical="center"/>
    </xf>
    <xf numFmtId="10" fontId="47" fillId="0" borderId="0" xfId="0" applyNumberFormat="1" applyFont="1"/>
    <xf numFmtId="9" fontId="53" fillId="0" borderId="0" xfId="0" applyNumberFormat="1" applyFont="1" applyAlignment="1">
      <alignment vertical="center"/>
    </xf>
    <xf numFmtId="0" fontId="47" fillId="0" borderId="0" xfId="0" applyFont="1" applyAlignment="1">
      <alignment horizontal="left" wrapText="1"/>
    </xf>
    <xf numFmtId="2" fontId="53" fillId="0" borderId="0" xfId="0" applyNumberFormat="1" applyFont="1" applyAlignment="1">
      <alignment horizontal="right"/>
    </xf>
    <xf numFmtId="169" fontId="47" fillId="0" borderId="0" xfId="0" applyNumberFormat="1" applyFont="1"/>
    <xf numFmtId="14" fontId="0" fillId="0" borderId="0" xfId="0" applyNumberFormat="1"/>
    <xf numFmtId="10" fontId="0" fillId="0" borderId="0" xfId="3" applyNumberFormat="1" applyFont="1"/>
    <xf numFmtId="44" fontId="0" fillId="0" borderId="0" xfId="2" applyFont="1"/>
    <xf numFmtId="0" fontId="53" fillId="0" borderId="0" xfId="0" applyFont="1" applyAlignment="1">
      <alignment horizontal="left"/>
    </xf>
    <xf numFmtId="0" fontId="10" fillId="0" borderId="0" xfId="0" applyFont="1"/>
    <xf numFmtId="0" fontId="8" fillId="0" borderId="0" xfId="0" applyFont="1"/>
    <xf numFmtId="167" fontId="53" fillId="0" borderId="20" xfId="3" applyNumberFormat="1" applyFont="1" applyFill="1" applyBorder="1"/>
    <xf numFmtId="167" fontId="53" fillId="0" borderId="20" xfId="3" applyNumberFormat="1" applyFont="1" applyBorder="1"/>
    <xf numFmtId="169" fontId="73" fillId="0" borderId="51" xfId="0" applyNumberFormat="1" applyFont="1" applyBorder="1"/>
    <xf numFmtId="169" fontId="73" fillId="0" borderId="83" xfId="0" applyNumberFormat="1" applyFont="1" applyBorder="1"/>
    <xf numFmtId="0" fontId="10" fillId="0" borderId="12" xfId="0" applyFont="1" applyBorder="1"/>
    <xf numFmtId="0" fontId="10" fillId="0" borderId="80" xfId="0" applyFont="1" applyBorder="1"/>
    <xf numFmtId="0" fontId="47" fillId="0" borderId="9" xfId="0" applyFont="1" applyBorder="1"/>
    <xf numFmtId="164" fontId="0" fillId="0" borderId="10" xfId="0" applyNumberFormat="1" applyBorder="1"/>
    <xf numFmtId="43" fontId="68" fillId="0" borderId="10" xfId="1" applyFont="1" applyFill="1" applyBorder="1"/>
    <xf numFmtId="43" fontId="68" fillId="0" borderId="0" xfId="1" applyFont="1" applyFill="1" applyBorder="1"/>
    <xf numFmtId="2" fontId="15" fillId="0" borderId="11" xfId="0" applyNumberFormat="1" applyFont="1" applyBorder="1" applyAlignment="1">
      <alignment horizontal="left"/>
    </xf>
    <xf numFmtId="2" fontId="15" fillId="0" borderId="0" xfId="0" applyNumberFormat="1" applyFont="1" applyAlignment="1">
      <alignment horizontal="center"/>
    </xf>
    <xf numFmtId="164" fontId="68" fillId="0" borderId="10" xfId="0" applyNumberFormat="1" applyFont="1" applyBorder="1"/>
    <xf numFmtId="0" fontId="0" fillId="0" borderId="11" xfId="0" applyBorder="1"/>
    <xf numFmtId="44" fontId="0" fillId="0" borderId="0" xfId="2" applyFont="1" applyBorder="1"/>
    <xf numFmtId="0" fontId="0" fillId="0" borderId="10" xfId="0" applyBorder="1"/>
    <xf numFmtId="0" fontId="0" fillId="0" borderId="14" xfId="0" applyBorder="1"/>
    <xf numFmtId="0" fontId="0" fillId="0" borderId="31" xfId="0" applyBorder="1"/>
    <xf numFmtId="44" fontId="0" fillId="0" borderId="31" xfId="2" applyFont="1" applyBorder="1"/>
    <xf numFmtId="0" fontId="0" fillId="0" borderId="15" xfId="0" applyBorder="1"/>
    <xf numFmtId="0" fontId="0" fillId="0" borderId="7" xfId="0" applyBorder="1"/>
    <xf numFmtId="0" fontId="0" fillId="0" borderId="8" xfId="0" applyBorder="1"/>
    <xf numFmtId="10" fontId="53" fillId="0" borderId="0" xfId="3" applyNumberFormat="1" applyFont="1" applyFill="1" applyBorder="1"/>
    <xf numFmtId="0" fontId="77" fillId="0" borderId="31" xfId="0" applyFont="1" applyBorder="1" applyAlignment="1">
      <alignment horizontal="left"/>
    </xf>
    <xf numFmtId="0" fontId="69" fillId="0" borderId="10" xfId="0" applyFont="1" applyBorder="1" applyAlignment="1">
      <alignment horizontal="center" vertical="center" wrapText="1"/>
    </xf>
    <xf numFmtId="0" fontId="69" fillId="0" borderId="0" xfId="0" applyFont="1" applyAlignment="1">
      <alignment horizontal="center" vertical="center" wrapText="1"/>
    </xf>
    <xf numFmtId="0" fontId="70" fillId="0" borderId="12" xfId="0" applyFont="1" applyBorder="1"/>
    <xf numFmtId="0" fontId="13" fillId="0" borderId="30" xfId="0" applyFont="1" applyBorder="1" applyAlignment="1">
      <alignment horizontal="center"/>
    </xf>
    <xf numFmtId="1" fontId="70" fillId="0" borderId="30" xfId="0" applyNumberFormat="1" applyFont="1" applyBorder="1" applyAlignment="1">
      <alignment horizontal="center"/>
    </xf>
    <xf numFmtId="164" fontId="70" fillId="0" borderId="13" xfId="0" applyNumberFormat="1" applyFont="1" applyBorder="1" applyAlignment="1">
      <alignment horizontal="center"/>
    </xf>
    <xf numFmtId="164" fontId="71" fillId="0" borderId="10" xfId="0" applyNumberFormat="1" applyFont="1" applyBorder="1" applyAlignment="1">
      <alignment horizontal="center"/>
    </xf>
    <xf numFmtId="164" fontId="71" fillId="0" borderId="0" xfId="0" applyNumberFormat="1" applyFont="1" applyAlignment="1">
      <alignment horizontal="center"/>
    </xf>
    <xf numFmtId="164" fontId="68" fillId="0" borderId="0" xfId="0" applyNumberFormat="1" applyFont="1"/>
    <xf numFmtId="164" fontId="72" fillId="0" borderId="10" xfId="0" applyNumberFormat="1" applyFont="1" applyBorder="1"/>
    <xf numFmtId="164" fontId="72" fillId="0" borderId="0" xfId="0" applyNumberFormat="1" applyFont="1"/>
    <xf numFmtId="164" fontId="71" fillId="0" borderId="10" xfId="0" applyNumberFormat="1" applyFont="1" applyBorder="1"/>
    <xf numFmtId="164" fontId="71" fillId="0" borderId="0" xfId="0" applyNumberFormat="1" applyFont="1"/>
    <xf numFmtId="164" fontId="73" fillId="0" borderId="10" xfId="0" applyNumberFormat="1" applyFont="1" applyBorder="1"/>
    <xf numFmtId="164" fontId="73" fillId="0" borderId="0" xfId="0" applyNumberFormat="1" applyFont="1"/>
    <xf numFmtId="164" fontId="74" fillId="0" borderId="10" xfId="0" applyNumberFormat="1" applyFont="1" applyBorder="1"/>
    <xf numFmtId="164" fontId="74" fillId="0" borderId="0" xfId="0" applyNumberFormat="1" applyFont="1"/>
    <xf numFmtId="10" fontId="47" fillId="0" borderId="31" xfId="3" applyNumberFormat="1" applyFont="1" applyFill="1" applyBorder="1"/>
    <xf numFmtId="169" fontId="47" fillId="0" borderId="15" xfId="0" applyNumberFormat="1" applyFont="1" applyBorder="1"/>
    <xf numFmtId="0" fontId="74" fillId="0" borderId="77" xfId="0" applyFont="1" applyBorder="1"/>
    <xf numFmtId="0" fontId="74" fillId="0" borderId="82" xfId="0" applyFont="1" applyBorder="1"/>
    <xf numFmtId="0" fontId="0" fillId="0" borderId="31" xfId="0" applyBorder="1" applyAlignment="1">
      <alignment wrapText="1"/>
    </xf>
    <xf numFmtId="44" fontId="0" fillId="0" borderId="0" xfId="2" applyFont="1" applyFill="1"/>
    <xf numFmtId="0" fontId="0" fillId="14" borderId="0" xfId="0" applyFill="1"/>
    <xf numFmtId="0" fontId="10" fillId="0" borderId="12" xfId="0" applyFont="1" applyBorder="1" applyAlignment="1">
      <alignment horizontal="center"/>
    </xf>
    <xf numFmtId="0" fontId="10" fillId="0" borderId="80" xfId="0" applyFont="1" applyBorder="1" applyAlignment="1">
      <alignment horizontal="center"/>
    </xf>
    <xf numFmtId="0" fontId="79" fillId="0" borderId="0" xfId="826" applyFont="1"/>
    <xf numFmtId="0" fontId="80" fillId="0" borderId="0" xfId="826" applyFont="1" applyAlignment="1">
      <alignment horizontal="center"/>
    </xf>
    <xf numFmtId="0" fontId="79" fillId="0" borderId="0" xfId="826" applyFont="1" applyAlignment="1">
      <alignment wrapText="1"/>
    </xf>
    <xf numFmtId="9" fontId="79" fillId="0" borderId="0" xfId="3" applyFont="1"/>
    <xf numFmtId="17" fontId="81" fillId="0" borderId="0" xfId="826" applyNumberFormat="1" applyFont="1" applyAlignment="1">
      <alignment horizontal="center"/>
    </xf>
    <xf numFmtId="0" fontId="82" fillId="0" borderId="0" xfId="826" applyFont="1" applyAlignment="1">
      <alignment horizontal="center"/>
    </xf>
    <xf numFmtId="170" fontId="82" fillId="0" borderId="0" xfId="826" applyNumberFormat="1" applyFont="1" applyAlignment="1">
      <alignment horizontal="left" vertical="top"/>
    </xf>
    <xf numFmtId="0" fontId="82" fillId="0" borderId="0" xfId="826" applyFont="1"/>
    <xf numFmtId="9" fontId="82" fillId="0" borderId="0" xfId="826" applyNumberFormat="1" applyFont="1" applyAlignment="1">
      <alignment horizontal="center" wrapText="1"/>
    </xf>
    <xf numFmtId="0" fontId="82" fillId="0" borderId="0" xfId="826" applyFont="1" applyAlignment="1">
      <alignment horizontal="left" wrapText="1"/>
    </xf>
    <xf numFmtId="0" fontId="79" fillId="0" borderId="12" xfId="826" applyFont="1" applyBorder="1"/>
    <xf numFmtId="169" fontId="79" fillId="0" borderId="30" xfId="826" applyNumberFormat="1" applyFont="1" applyBorder="1" applyAlignment="1">
      <alignment horizontal="center"/>
    </xf>
    <xf numFmtId="169" fontId="79" fillId="0" borderId="63" xfId="826" applyNumberFormat="1" applyFont="1" applyBorder="1" applyAlignment="1">
      <alignment horizontal="center"/>
    </xf>
    <xf numFmtId="169" fontId="79" fillId="0" borderId="0" xfId="826" applyNumberFormat="1" applyFont="1"/>
    <xf numFmtId="0" fontId="79" fillId="0" borderId="14" xfId="826" applyFont="1" applyBorder="1"/>
    <xf numFmtId="171" fontId="79" fillId="0" borderId="31" xfId="826" applyNumberFormat="1" applyFont="1" applyBorder="1" applyAlignment="1">
      <alignment horizontal="center"/>
    </xf>
    <xf numFmtId="0" fontId="79" fillId="0" borderId="30" xfId="826" applyFont="1" applyBorder="1"/>
    <xf numFmtId="0" fontId="79" fillId="0" borderId="11" xfId="826" applyFont="1" applyBorder="1"/>
    <xf numFmtId="171" fontId="79" fillId="0" borderId="0" xfId="826" applyNumberFormat="1" applyFont="1" applyAlignment="1">
      <alignment horizontal="center"/>
    </xf>
    <xf numFmtId="0" fontId="79" fillId="0" borderId="31" xfId="826" applyFont="1" applyBorder="1"/>
    <xf numFmtId="0" fontId="79" fillId="0" borderId="12" xfId="826" applyFont="1" applyBorder="1" applyAlignment="1">
      <alignment wrapText="1"/>
    </xf>
    <xf numFmtId="0" fontId="79" fillId="0" borderId="14" xfId="826" applyFont="1" applyBorder="1" applyAlignment="1">
      <alignment wrapText="1"/>
    </xf>
    <xf numFmtId="169" fontId="79" fillId="0" borderId="0" xfId="826" applyNumberFormat="1" applyFont="1" applyAlignment="1">
      <alignment horizontal="center"/>
    </xf>
    <xf numFmtId="0" fontId="79" fillId="0" borderId="0" xfId="826" applyFont="1" applyAlignment="1">
      <alignment horizontal="right" wrapText="1"/>
    </xf>
    <xf numFmtId="0" fontId="79" fillId="0" borderId="0" xfId="826" applyFont="1" applyAlignment="1">
      <alignment horizontal="center"/>
    </xf>
    <xf numFmtId="0" fontId="79" fillId="0" borderId="0" xfId="826" applyFont="1" applyAlignment="1">
      <alignment horizontal="right"/>
    </xf>
    <xf numFmtId="10" fontId="79" fillId="0" borderId="0" xfId="3" applyNumberFormat="1" applyFont="1" applyAlignment="1">
      <alignment horizontal="center"/>
    </xf>
    <xf numFmtId="9" fontId="79" fillId="0" borderId="0" xfId="3" applyFont="1" applyAlignment="1">
      <alignment horizontal="center"/>
    </xf>
    <xf numFmtId="171" fontId="79" fillId="0" borderId="0" xfId="826" applyNumberFormat="1" applyFont="1"/>
    <xf numFmtId="0" fontId="0" fillId="53" borderId="11" xfId="0" applyFill="1" applyBorder="1" applyAlignment="1">
      <alignment wrapText="1"/>
    </xf>
    <xf numFmtId="0" fontId="0" fillId="53" borderId="67" xfId="0" applyFill="1" applyBorder="1" applyAlignment="1">
      <alignment wrapText="1"/>
    </xf>
    <xf numFmtId="0" fontId="0" fillId="53" borderId="14" xfId="0" applyFill="1" applyBorder="1" applyAlignment="1">
      <alignment wrapText="1"/>
    </xf>
    <xf numFmtId="0" fontId="0" fillId="53" borderId="81" xfId="0" applyFill="1" applyBorder="1" applyAlignment="1">
      <alignment wrapText="1"/>
    </xf>
    <xf numFmtId="169" fontId="73" fillId="0" borderId="84" xfId="0" applyNumberFormat="1" applyFont="1" applyBorder="1"/>
    <xf numFmtId="0" fontId="0" fillId="0" borderId="14" xfId="0" applyBorder="1" applyAlignment="1">
      <alignment wrapText="1"/>
    </xf>
    <xf numFmtId="0" fontId="0" fillId="0" borderId="81" xfId="0" applyBorder="1" applyAlignment="1">
      <alignment wrapText="1"/>
    </xf>
    <xf numFmtId="0" fontId="11" fillId="0" borderId="14" xfId="0" applyFont="1" applyBorder="1" applyAlignment="1">
      <alignment wrapText="1"/>
    </xf>
    <xf numFmtId="0" fontId="11" fillId="0" borderId="81" xfId="0" applyFont="1" applyBorder="1" applyAlignment="1">
      <alignment wrapText="1"/>
    </xf>
    <xf numFmtId="166" fontId="0" fillId="0" borderId="11" xfId="0" applyNumberFormat="1" applyBorder="1"/>
    <xf numFmtId="6" fontId="0" fillId="0" borderId="0" xfId="0" applyNumberFormat="1"/>
    <xf numFmtId="2" fontId="12" fillId="0" borderId="11" xfId="0" applyNumberFormat="1" applyFont="1" applyBorder="1" applyAlignment="1">
      <alignment horizontal="left"/>
    </xf>
    <xf numFmtId="165" fontId="12" fillId="0" borderId="0" xfId="2" applyNumberFormat="1" applyFont="1" applyFill="1" applyBorder="1" applyAlignment="1">
      <alignment horizontal="left"/>
    </xf>
    <xf numFmtId="2" fontId="12" fillId="0" borderId="0" xfId="0" applyNumberFormat="1" applyFont="1" applyAlignment="1">
      <alignment horizontal="center"/>
    </xf>
    <xf numFmtId="43" fontId="87" fillId="0" borderId="10" xfId="1" applyFont="1" applyBorder="1"/>
    <xf numFmtId="43" fontId="87" fillId="0" borderId="0" xfId="1" applyFont="1" applyBorder="1"/>
    <xf numFmtId="164" fontId="87" fillId="0" borderId="10" xfId="0" applyNumberFormat="1" applyFont="1" applyBorder="1"/>
    <xf numFmtId="164" fontId="87" fillId="0" borderId="0" xfId="0" applyNumberFormat="1" applyFont="1"/>
    <xf numFmtId="43" fontId="87" fillId="0" borderId="10" xfId="1" applyFont="1" applyFill="1" applyBorder="1"/>
    <xf numFmtId="43" fontId="87" fillId="0" borderId="0" xfId="1" applyFont="1" applyFill="1" applyBorder="1"/>
    <xf numFmtId="0" fontId="11" fillId="0" borderId="11" xfId="0" applyFont="1" applyBorder="1" applyAlignment="1">
      <alignment wrapText="1"/>
    </xf>
    <xf numFmtId="0" fontId="11" fillId="0" borderId="67" xfId="0" applyFont="1" applyBorder="1" applyAlignment="1">
      <alignment wrapText="1"/>
    </xf>
    <xf numFmtId="0" fontId="87" fillId="0" borderId="0" xfId="0" applyFont="1"/>
    <xf numFmtId="0" fontId="88" fillId="12" borderId="10" xfId="0" applyFont="1" applyFill="1" applyBorder="1" applyAlignment="1">
      <alignment horizontal="center" vertical="center" wrapText="1"/>
    </xf>
    <xf numFmtId="0" fontId="88" fillId="12" borderId="0" xfId="0" applyFont="1" applyFill="1" applyAlignment="1">
      <alignment horizontal="center" vertical="center" wrapText="1"/>
    </xf>
    <xf numFmtId="0" fontId="89" fillId="0" borderId="12" xfId="0" applyFont="1" applyBorder="1"/>
    <xf numFmtId="0" fontId="14" fillId="0" borderId="30" xfId="0" applyFont="1" applyBorder="1" applyAlignment="1">
      <alignment horizontal="center"/>
    </xf>
    <xf numFmtId="1" fontId="89" fillId="0" borderId="30" xfId="0" applyNumberFormat="1" applyFont="1" applyBorder="1" applyAlignment="1">
      <alignment horizontal="center"/>
    </xf>
    <xf numFmtId="164" fontId="89" fillId="0" borderId="13" xfId="0" applyNumberFormat="1" applyFont="1" applyBorder="1" applyAlignment="1">
      <alignment horizontal="center"/>
    </xf>
    <xf numFmtId="164" fontId="90" fillId="0" borderId="10" xfId="0" applyNumberFormat="1" applyFont="1" applyBorder="1" applyAlignment="1">
      <alignment horizontal="center"/>
    </xf>
    <xf numFmtId="164" fontId="90" fillId="0" borderId="0" xfId="0" applyNumberFormat="1" applyFont="1" applyAlignment="1">
      <alignment horizontal="center"/>
    </xf>
    <xf numFmtId="44" fontId="12" fillId="0" borderId="0" xfId="2" applyFont="1" applyFill="1" applyBorder="1" applyAlignment="1">
      <alignment horizontal="left"/>
    </xf>
    <xf numFmtId="0" fontId="14" fillId="0" borderId="16" xfId="0" applyFont="1" applyBorder="1" applyAlignment="1">
      <alignment horizontal="center"/>
    </xf>
    <xf numFmtId="164" fontId="12" fillId="0" borderId="12" xfId="0" applyNumberFormat="1" applyFont="1" applyBorder="1"/>
    <xf numFmtId="165" fontId="14" fillId="0" borderId="0" xfId="0" applyNumberFormat="1" applyFont="1"/>
    <xf numFmtId="2" fontId="12" fillId="0" borderId="17" xfId="0" applyNumberFormat="1" applyFont="1" applyBorder="1" applyAlignment="1">
      <alignment horizontal="center"/>
    </xf>
    <xf numFmtId="2" fontId="12" fillId="0" borderId="18" xfId="0" applyNumberFormat="1" applyFont="1" applyBorder="1" applyAlignment="1">
      <alignment horizontal="center"/>
    </xf>
    <xf numFmtId="2" fontId="12" fillId="0" borderId="19" xfId="0" applyNumberFormat="1" applyFont="1" applyBorder="1" applyAlignment="1">
      <alignment horizontal="center"/>
    </xf>
    <xf numFmtId="164" fontId="12" fillId="0" borderId="11" xfId="0" applyNumberFormat="1" applyFont="1" applyBorder="1"/>
    <xf numFmtId="2" fontId="12" fillId="0" borderId="20" xfId="0" applyNumberFormat="1" applyFont="1" applyBorder="1" applyAlignment="1">
      <alignment horizontal="center"/>
    </xf>
    <xf numFmtId="2" fontId="12" fillId="0" borderId="21" xfId="0" applyNumberFormat="1" applyFont="1" applyBorder="1" applyAlignment="1">
      <alignment horizontal="center"/>
    </xf>
    <xf numFmtId="2" fontId="12" fillId="0" borderId="22" xfId="0" applyNumberFormat="1" applyFont="1" applyBorder="1" applyAlignment="1">
      <alignment horizontal="center"/>
    </xf>
    <xf numFmtId="166" fontId="12" fillId="0" borderId="11" xfId="0" applyNumberFormat="1" applyFont="1" applyBorder="1"/>
    <xf numFmtId="0" fontId="14" fillId="0" borderId="26" xfId="0" applyFont="1" applyBorder="1"/>
    <xf numFmtId="164" fontId="14" fillId="0" borderId="27" xfId="0" applyNumberFormat="1" applyFont="1" applyBorder="1"/>
    <xf numFmtId="2" fontId="14" fillId="0" borderId="27" xfId="0" applyNumberFormat="1" applyFont="1" applyBorder="1" applyAlignment="1">
      <alignment horizontal="center"/>
    </xf>
    <xf numFmtId="164" fontId="14" fillId="0" borderId="28" xfId="0" applyNumberFormat="1" applyFont="1" applyBorder="1"/>
    <xf numFmtId="164" fontId="91" fillId="0" borderId="10" xfId="0" applyNumberFormat="1" applyFont="1" applyBorder="1"/>
    <xf numFmtId="164" fontId="91" fillId="0" borderId="0" xfId="0" applyNumberFormat="1" applyFont="1"/>
    <xf numFmtId="0" fontId="14" fillId="0" borderId="11" xfId="0" applyFont="1" applyBorder="1"/>
    <xf numFmtId="164" fontId="14" fillId="0" borderId="0" xfId="0" applyNumberFormat="1" applyFont="1"/>
    <xf numFmtId="2" fontId="14" fillId="0" borderId="0" xfId="0" applyNumberFormat="1" applyFont="1" applyAlignment="1">
      <alignment horizontal="center"/>
    </xf>
    <xf numFmtId="164" fontId="14" fillId="0" borderId="10" xfId="0" applyNumberFormat="1" applyFont="1" applyBorder="1"/>
    <xf numFmtId="166" fontId="12" fillId="0" borderId="14" xfId="0" applyNumberFormat="1" applyFont="1" applyBorder="1"/>
    <xf numFmtId="2" fontId="12" fillId="0" borderId="23" xfId="0" applyNumberFormat="1" applyFont="1" applyBorder="1" applyAlignment="1">
      <alignment horizontal="center"/>
    </xf>
    <xf numFmtId="2" fontId="12" fillId="0" borderId="24" xfId="0" applyNumberFormat="1" applyFont="1" applyBorder="1" applyAlignment="1">
      <alignment horizontal="center"/>
    </xf>
    <xf numFmtId="2" fontId="12" fillId="0" borderId="25" xfId="0" applyNumberFormat="1" applyFont="1" applyBorder="1" applyAlignment="1">
      <alignment horizontal="center"/>
    </xf>
    <xf numFmtId="1" fontId="14" fillId="0" borderId="0" xfId="0" applyNumberFormat="1" applyFont="1" applyAlignment="1">
      <alignment horizontal="center"/>
    </xf>
    <xf numFmtId="164" fontId="90" fillId="0" borderId="10" xfId="0" applyNumberFormat="1" applyFont="1" applyBorder="1"/>
    <xf numFmtId="164" fontId="90" fillId="0" borderId="0" xfId="0" applyNumberFormat="1" applyFont="1"/>
    <xf numFmtId="0" fontId="14" fillId="0" borderId="29" xfId="0" applyFont="1" applyBorder="1" applyAlignment="1">
      <alignment horizontal="center"/>
    </xf>
    <xf numFmtId="10" fontId="12" fillId="0" borderId="0" xfId="3" applyNumberFormat="1" applyFont="1" applyFill="1" applyBorder="1" applyAlignment="1">
      <alignment vertical="center"/>
    </xf>
    <xf numFmtId="1" fontId="12" fillId="0" borderId="0" xfId="0" applyNumberFormat="1" applyFont="1" applyAlignment="1">
      <alignment horizontal="center"/>
    </xf>
    <xf numFmtId="164" fontId="12" fillId="0" borderId="10" xfId="0" applyNumberFormat="1" applyFont="1" applyBorder="1"/>
    <xf numFmtId="164" fontId="88" fillId="0" borderId="10" xfId="0" applyNumberFormat="1" applyFont="1" applyBorder="1"/>
    <xf numFmtId="164" fontId="88" fillId="0" borderId="0" xfId="0" applyNumberFormat="1" applyFont="1"/>
    <xf numFmtId="10" fontId="14" fillId="0" borderId="30" xfId="0" applyNumberFormat="1" applyFont="1" applyBorder="1" applyAlignment="1">
      <alignment horizontal="center"/>
    </xf>
    <xf numFmtId="0" fontId="12" fillId="0" borderId="17" xfId="0" applyFont="1" applyBorder="1"/>
    <xf numFmtId="0" fontId="12" fillId="0" borderId="19" xfId="0" applyFont="1" applyBorder="1"/>
    <xf numFmtId="0" fontId="12" fillId="0" borderId="26" xfId="0" applyFont="1" applyBorder="1"/>
    <xf numFmtId="164" fontId="12" fillId="0" borderId="27" xfId="0" applyNumberFormat="1" applyFont="1" applyBorder="1"/>
    <xf numFmtId="2" fontId="12" fillId="0" borderId="27" xfId="0" applyNumberFormat="1" applyFont="1" applyBorder="1" applyAlignment="1">
      <alignment horizontal="center"/>
    </xf>
    <xf numFmtId="10" fontId="14" fillId="0" borderId="0" xfId="0" applyNumberFormat="1" applyFont="1" applyAlignment="1">
      <alignment horizontal="center"/>
    </xf>
    <xf numFmtId="0" fontId="12" fillId="0" borderId="20" xfId="0" applyFont="1" applyBorder="1"/>
    <xf numFmtId="0" fontId="12" fillId="0" borderId="21" xfId="0" applyFont="1" applyBorder="1"/>
    <xf numFmtId="0" fontId="12" fillId="0" borderId="22" xfId="0" applyFont="1" applyBorder="1"/>
    <xf numFmtId="164" fontId="12" fillId="0" borderId="0" xfId="0" applyNumberFormat="1" applyFont="1"/>
    <xf numFmtId="165" fontId="12" fillId="0" borderId="0" xfId="2" applyNumberFormat="1" applyFont="1" applyFill="1" applyBorder="1" applyAlignment="1">
      <alignment horizontal="center"/>
    </xf>
    <xf numFmtId="164" fontId="92" fillId="0" borderId="10" xfId="0" applyNumberFormat="1" applyFont="1" applyBorder="1"/>
    <xf numFmtId="164" fontId="92" fillId="0" borderId="0" xfId="0" applyNumberFormat="1" applyFont="1"/>
    <xf numFmtId="165" fontId="12" fillId="0" borderId="0" xfId="2" applyNumberFormat="1" applyFont="1" applyBorder="1"/>
    <xf numFmtId="0" fontId="12" fillId="0" borderId="10" xfId="0" applyFont="1" applyBorder="1"/>
    <xf numFmtId="10" fontId="12" fillId="0" borderId="0" xfId="3" applyNumberFormat="1" applyFont="1" applyBorder="1"/>
    <xf numFmtId="167" fontId="12" fillId="0" borderId="20" xfId="3" applyNumberFormat="1" applyFont="1" applyFill="1" applyBorder="1"/>
    <xf numFmtId="167" fontId="12" fillId="0" borderId="0" xfId="0" applyNumberFormat="1" applyFont="1"/>
    <xf numFmtId="167" fontId="12" fillId="0" borderId="20" xfId="3" applyNumberFormat="1" applyFont="1" applyBorder="1"/>
    <xf numFmtId="0" fontId="14" fillId="0" borderId="36" xfId="0" applyFont="1" applyBorder="1"/>
    <xf numFmtId="164" fontId="14" fillId="0" borderId="37" xfId="0" applyNumberFormat="1" applyFont="1" applyBorder="1"/>
    <xf numFmtId="2" fontId="14" fillId="0" borderId="37" xfId="0" applyNumberFormat="1" applyFont="1" applyBorder="1" applyAlignment="1">
      <alignment horizontal="center"/>
    </xf>
    <xf numFmtId="164" fontId="14" fillId="0" borderId="38" xfId="0" applyNumberFormat="1" applyFont="1" applyBorder="1"/>
    <xf numFmtId="167" fontId="12" fillId="0" borderId="0" xfId="3" applyNumberFormat="1" applyFont="1" applyBorder="1"/>
    <xf numFmtId="0" fontId="12" fillId="0" borderId="0" xfId="0" applyFont="1" applyAlignment="1">
      <alignment horizontal="center"/>
    </xf>
    <xf numFmtId="0" fontId="12" fillId="53" borderId="10" xfId="0" applyFont="1" applyFill="1" applyBorder="1"/>
    <xf numFmtId="0" fontId="12" fillId="15" borderId="10" xfId="0" applyFont="1" applyFill="1" applyBorder="1"/>
    <xf numFmtId="168" fontId="12" fillId="0" borderId="10" xfId="0" applyNumberFormat="1" applyFont="1" applyBorder="1"/>
    <xf numFmtId="0" fontId="14" fillId="0" borderId="14" xfId="0" applyFont="1" applyBorder="1"/>
    <xf numFmtId="10" fontId="14" fillId="0" borderId="31" xfId="3" applyNumberFormat="1" applyFont="1" applyBorder="1"/>
    <xf numFmtId="2" fontId="14" fillId="0" borderId="31" xfId="0" applyNumberFormat="1" applyFont="1" applyBorder="1" applyAlignment="1">
      <alignment horizontal="center"/>
    </xf>
    <xf numFmtId="169" fontId="14" fillId="0" borderId="15" xfId="0" applyNumberFormat="1" applyFont="1" applyBorder="1"/>
    <xf numFmtId="0" fontId="14" fillId="0" borderId="7" xfId="0" applyFont="1" applyBorder="1"/>
    <xf numFmtId="0" fontId="12" fillId="0" borderId="8" xfId="0" applyFont="1" applyBorder="1"/>
    <xf numFmtId="0" fontId="12" fillId="0" borderId="9" xfId="0" applyFont="1" applyBorder="1"/>
    <xf numFmtId="0" fontId="93" fillId="0" borderId="82" xfId="0" applyFont="1" applyBorder="1"/>
    <xf numFmtId="169" fontId="91" fillId="14" borderId="83" xfId="0" applyNumberFormat="1" applyFont="1" applyFill="1" applyBorder="1"/>
    <xf numFmtId="0" fontId="92" fillId="0" borderId="71" xfId="0" applyFont="1" applyBorder="1"/>
    <xf numFmtId="169" fontId="88" fillId="0" borderId="84" xfId="0" applyNumberFormat="1" applyFont="1" applyBorder="1"/>
    <xf numFmtId="0" fontId="92" fillId="0" borderId="77" xfId="0" applyFont="1" applyBorder="1"/>
    <xf numFmtId="169" fontId="91" fillId="14" borderId="51" xfId="0" applyNumberFormat="1" applyFont="1" applyFill="1" applyBorder="1"/>
    <xf numFmtId="169" fontId="88" fillId="0" borderId="51" xfId="0" applyNumberFormat="1" applyFont="1" applyBorder="1"/>
    <xf numFmtId="0" fontId="92" fillId="0" borderId="82" xfId="0" applyFont="1" applyBorder="1"/>
    <xf numFmtId="169" fontId="88" fillId="0" borderId="83" xfId="0" applyNumberFormat="1" applyFont="1" applyBorder="1"/>
    <xf numFmtId="169" fontId="0" fillId="0" borderId="0" xfId="0" applyNumberFormat="1"/>
    <xf numFmtId="2" fontId="12" fillId="0" borderId="0" xfId="0" applyNumberFormat="1" applyFont="1" applyAlignment="1">
      <alignment horizontal="left"/>
    </xf>
    <xf numFmtId="44" fontId="12" fillId="0" borderId="0" xfId="2" applyFont="1" applyFill="1" applyAlignment="1">
      <alignment horizontal="left"/>
    </xf>
    <xf numFmtId="0" fontId="93" fillId="0" borderId="77" xfId="0" applyFont="1" applyBorder="1"/>
    <xf numFmtId="0" fontId="10" fillId="0" borderId="14" xfId="0" applyFont="1" applyBorder="1"/>
    <xf numFmtId="0" fontId="10" fillId="0" borderId="81" xfId="0" applyFont="1" applyBorder="1"/>
    <xf numFmtId="0" fontId="11" fillId="0" borderId="14" xfId="0" applyFont="1" applyBorder="1"/>
    <xf numFmtId="169" fontId="86" fillId="0" borderId="15" xfId="0" applyNumberFormat="1" applyFont="1" applyBorder="1"/>
    <xf numFmtId="0" fontId="11" fillId="0" borderId="81" xfId="0" applyFont="1" applyBorder="1"/>
    <xf numFmtId="164" fontId="0" fillId="0" borderId="0" xfId="0" applyNumberFormat="1"/>
    <xf numFmtId="166" fontId="0" fillId="0" borderId="0" xfId="0" applyNumberFormat="1"/>
    <xf numFmtId="0" fontId="12" fillId="0" borderId="82" xfId="0" applyFont="1" applyBorder="1"/>
    <xf numFmtId="0" fontId="89" fillId="0" borderId="0" xfId="0" applyFont="1"/>
    <xf numFmtId="0" fontId="14" fillId="0" borderId="0" xfId="0" applyFont="1" applyAlignment="1">
      <alignment horizontal="center"/>
    </xf>
    <xf numFmtId="1" fontId="89" fillId="0" borderId="0" xfId="0" applyNumberFormat="1" applyFont="1" applyAlignment="1">
      <alignment horizontal="center"/>
    </xf>
    <xf numFmtId="164" fontId="89" fillId="0" borderId="0" xfId="0" applyNumberFormat="1" applyFont="1" applyAlignment="1">
      <alignment horizontal="center"/>
    </xf>
    <xf numFmtId="10" fontId="12" fillId="0" borderId="0" xfId="3" applyNumberFormat="1" applyFont="1" applyFill="1" applyBorder="1"/>
    <xf numFmtId="2" fontId="89" fillId="0" borderId="79" xfId="0" applyNumberFormat="1" applyFont="1" applyBorder="1"/>
    <xf numFmtId="2" fontId="89" fillId="0" borderId="64" xfId="0" applyNumberFormat="1" applyFont="1" applyBorder="1"/>
    <xf numFmtId="168" fontId="12" fillId="0" borderId="0" xfId="0" applyNumberFormat="1" applyFont="1"/>
    <xf numFmtId="10" fontId="14" fillId="0" borderId="0" xfId="3" applyNumberFormat="1" applyFont="1" applyFill="1" applyBorder="1"/>
    <xf numFmtId="169" fontId="86" fillId="0" borderId="0" xfId="0" applyNumberFormat="1" applyFont="1"/>
    <xf numFmtId="0" fontId="93" fillId="0" borderId="0" xfId="0" applyFont="1"/>
    <xf numFmtId="2" fontId="12" fillId="54" borderId="11" xfId="0" applyNumberFormat="1" applyFont="1" applyFill="1" applyBorder="1" applyAlignment="1">
      <alignment horizontal="left"/>
    </xf>
    <xf numFmtId="44" fontId="12" fillId="54" borderId="0" xfId="2" applyFont="1" applyFill="1" applyBorder="1" applyAlignment="1">
      <alignment horizontal="left"/>
    </xf>
    <xf numFmtId="2" fontId="12" fillId="54" borderId="0" xfId="0" applyNumberFormat="1" applyFont="1" applyFill="1" applyAlignment="1">
      <alignment horizontal="center"/>
    </xf>
    <xf numFmtId="2" fontId="12" fillId="53" borderId="11" xfId="0" applyNumberFormat="1" applyFont="1" applyFill="1" applyBorder="1" applyAlignment="1">
      <alignment horizontal="left"/>
    </xf>
    <xf numFmtId="44" fontId="12" fillId="53" borderId="0" xfId="2" applyFont="1" applyFill="1" applyBorder="1" applyAlignment="1">
      <alignment horizontal="left"/>
    </xf>
    <xf numFmtId="2" fontId="12" fillId="53" borderId="0" xfId="0" applyNumberFormat="1" applyFont="1" applyFill="1" applyAlignment="1">
      <alignment horizontal="center"/>
    </xf>
    <xf numFmtId="44" fontId="12" fillId="54" borderId="0" xfId="2" applyFont="1" applyFill="1" applyAlignment="1">
      <alignment horizontal="left"/>
    </xf>
    <xf numFmtId="0" fontId="12" fillId="53" borderId="11" xfId="0" applyFont="1" applyFill="1" applyBorder="1"/>
    <xf numFmtId="164" fontId="12" fillId="53" borderId="0" xfId="0" applyNumberFormat="1" applyFont="1" applyFill="1"/>
    <xf numFmtId="165" fontId="12" fillId="53" borderId="0" xfId="2" applyNumberFormat="1" applyFont="1" applyFill="1" applyBorder="1" applyAlignment="1">
      <alignment horizontal="center"/>
    </xf>
    <xf numFmtId="169" fontId="88" fillId="14" borderId="51" xfId="0" applyNumberFormat="1" applyFont="1" applyFill="1" applyBorder="1"/>
    <xf numFmtId="169" fontId="88" fillId="14" borderId="83" xfId="0" applyNumberFormat="1" applyFont="1" applyFill="1" applyBorder="1"/>
    <xf numFmtId="0" fontId="12" fillId="0" borderId="11" xfId="0" applyFont="1" applyBorder="1" applyAlignment="1">
      <alignment wrapText="1"/>
    </xf>
    <xf numFmtId="0" fontId="12" fillId="0" borderId="67" xfId="0" applyFont="1" applyBorder="1" applyAlignment="1">
      <alignment wrapText="1"/>
    </xf>
    <xf numFmtId="0" fontId="12" fillId="0" borderId="14" xfId="0" applyFont="1" applyBorder="1" applyAlignment="1">
      <alignment wrapText="1"/>
    </xf>
    <xf numFmtId="0" fontId="12" fillId="0" borderId="81" xfId="0" applyFont="1" applyBorder="1" applyAlignment="1">
      <alignment wrapText="1"/>
    </xf>
    <xf numFmtId="0" fontId="0" fillId="0" borderId="31" xfId="0" applyBorder="1" applyAlignment="1">
      <alignment horizontal="center" wrapText="1"/>
    </xf>
    <xf numFmtId="2" fontId="89" fillId="0" borderId="79" xfId="0" applyNumberFormat="1" applyFont="1" applyBorder="1" applyAlignment="1">
      <alignment horizontal="center"/>
    </xf>
    <xf numFmtId="2" fontId="89" fillId="0" borderId="64" xfId="0" applyNumberFormat="1" applyFont="1" applyBorder="1" applyAlignment="1">
      <alignment horizontal="center"/>
    </xf>
    <xf numFmtId="0" fontId="0" fillId="0" borderId="11" xfId="0" applyBorder="1" applyAlignment="1">
      <alignment wrapText="1"/>
    </xf>
    <xf numFmtId="0" fontId="0" fillId="0" borderId="67" xfId="0" applyBorder="1" applyAlignment="1">
      <alignment wrapText="1"/>
    </xf>
    <xf numFmtId="0" fontId="74" fillId="0" borderId="71" xfId="0" applyFont="1" applyBorder="1"/>
    <xf numFmtId="0" fontId="0" fillId="0" borderId="0" xfId="0" applyAlignment="1">
      <alignment wrapText="1"/>
    </xf>
    <xf numFmtId="0" fontId="0" fillId="0" borderId="30" xfId="0" applyBorder="1" applyAlignment="1">
      <alignment horizontal="center"/>
    </xf>
    <xf numFmtId="0" fontId="0" fillId="0" borderId="31" xfId="0" applyBorder="1" applyAlignment="1">
      <alignment horizontal="center"/>
    </xf>
    <xf numFmtId="0" fontId="0" fillId="0" borderId="0" xfId="0" applyAlignment="1">
      <alignment horizontal="center"/>
    </xf>
    <xf numFmtId="0" fontId="0" fillId="55" borderId="30" xfId="0" applyFill="1" applyBorder="1"/>
    <xf numFmtId="0" fontId="0" fillId="55" borderId="0" xfId="0" applyFill="1" applyAlignment="1">
      <alignment horizontal="center"/>
    </xf>
    <xf numFmtId="0" fontId="0" fillId="55" borderId="31" xfId="0" applyFill="1" applyBorder="1" applyAlignment="1">
      <alignment horizontal="center"/>
    </xf>
    <xf numFmtId="0" fontId="0" fillId="55" borderId="30" xfId="0" applyFill="1" applyBorder="1" applyAlignment="1">
      <alignment horizontal="center"/>
    </xf>
    <xf numFmtId="0" fontId="15" fillId="0" borderId="0" xfId="428"/>
    <xf numFmtId="0" fontId="16" fillId="45" borderId="0" xfId="428" applyFont="1" applyFill="1"/>
    <xf numFmtId="0" fontId="13" fillId="45" borderId="10" xfId="428" applyFont="1" applyFill="1" applyBorder="1"/>
    <xf numFmtId="0" fontId="60" fillId="45" borderId="31" xfId="428" applyFont="1" applyFill="1" applyBorder="1"/>
    <xf numFmtId="0" fontId="13" fillId="45" borderId="15" xfId="428" applyFont="1" applyFill="1" applyBorder="1"/>
    <xf numFmtId="0" fontId="13" fillId="0" borderId="0" xfId="428" applyFont="1"/>
    <xf numFmtId="0" fontId="61" fillId="49" borderId="0" xfId="428" applyFont="1" applyFill="1" applyAlignment="1">
      <alignment horizontal="center"/>
    </xf>
    <xf numFmtId="0" fontId="61" fillId="50" borderId="0" xfId="428" applyFont="1" applyFill="1" applyAlignment="1">
      <alignment horizontal="center"/>
    </xf>
    <xf numFmtId="14" fontId="13" fillId="0" borderId="0" xfId="428" applyNumberFormat="1" applyFont="1"/>
    <xf numFmtId="174" fontId="15" fillId="0" borderId="0" xfId="428" applyNumberFormat="1"/>
    <xf numFmtId="2" fontId="15" fillId="0" borderId="0" xfId="428" applyNumberFormat="1"/>
    <xf numFmtId="0" fontId="13" fillId="0" borderId="0" xfId="1312" applyFont="1" applyAlignment="1"/>
    <xf numFmtId="0" fontId="30" fillId="0" borderId="0" xfId="1312" applyAlignment="1"/>
    <xf numFmtId="0" fontId="62" fillId="0" borderId="0" xfId="1312" applyFont="1" applyAlignment="1"/>
    <xf numFmtId="0" fontId="63" fillId="0" borderId="0" xfId="1312" applyFont="1" applyAlignment="1"/>
    <xf numFmtId="0" fontId="30" fillId="0" borderId="66" xfId="1312" applyBorder="1" applyAlignment="1"/>
    <xf numFmtId="0" fontId="30" fillId="0" borderId="59" xfId="1312" applyBorder="1" applyAlignment="1"/>
    <xf numFmtId="0" fontId="30" fillId="0" borderId="61" xfId="1312" applyBorder="1" applyAlignment="1"/>
    <xf numFmtId="0" fontId="30" fillId="0" borderId="20" xfId="1312" applyBorder="1" applyAlignment="1"/>
    <xf numFmtId="0" fontId="30" fillId="0" borderId="0" xfId="1312" applyAlignment="1">
      <alignment horizontal="right"/>
    </xf>
    <xf numFmtId="0" fontId="13" fillId="0" borderId="0" xfId="1312" applyFont="1" applyAlignment="1">
      <alignment horizontal="center"/>
    </xf>
    <xf numFmtId="0" fontId="30" fillId="0" borderId="67" xfId="1312" applyBorder="1" applyAlignment="1"/>
    <xf numFmtId="14" fontId="13" fillId="0" borderId="0" xfId="428" applyNumberFormat="1" applyFont="1" applyAlignment="1">
      <alignment horizontal="center"/>
    </xf>
    <xf numFmtId="0" fontId="64" fillId="0" borderId="67" xfId="1312" applyFont="1" applyBorder="1" applyAlignment="1">
      <alignment horizontal="center"/>
    </xf>
    <xf numFmtId="166" fontId="15" fillId="0" borderId="0" xfId="428" applyNumberFormat="1"/>
    <xf numFmtId="174" fontId="15" fillId="0" borderId="77" xfId="428" applyNumberFormat="1" applyBorder="1"/>
    <xf numFmtId="174" fontId="30" fillId="0" borderId="67" xfId="1312" applyNumberFormat="1" applyBorder="1" applyAlignment="1">
      <alignment horizontal="center"/>
    </xf>
    <xf numFmtId="0" fontId="30" fillId="0" borderId="67" xfId="1312" applyBorder="1" applyAlignment="1">
      <alignment horizontal="center"/>
    </xf>
    <xf numFmtId="0" fontId="30" fillId="0" borderId="20" xfId="1312" applyBorder="1" applyAlignment="1">
      <alignment horizontal="right"/>
    </xf>
    <xf numFmtId="0" fontId="97" fillId="0" borderId="0" xfId="1312" applyFont="1" applyAlignment="1">
      <alignment horizontal="right"/>
    </xf>
    <xf numFmtId="0" fontId="13" fillId="14" borderId="0" xfId="1312" applyFont="1" applyFill="1" applyAlignment="1">
      <alignment horizontal="right"/>
    </xf>
    <xf numFmtId="0" fontId="30" fillId="0" borderId="68" xfId="1312" applyBorder="1" applyAlignment="1"/>
    <xf numFmtId="0" fontId="30" fillId="0" borderId="34" xfId="1312" applyBorder="1" applyAlignment="1"/>
    <xf numFmtId="0" fontId="30" fillId="0" borderId="69" xfId="1312" applyBorder="1" applyAlignment="1"/>
    <xf numFmtId="0" fontId="10" fillId="0" borderId="11" xfId="0" applyFont="1" applyBorder="1" applyAlignment="1">
      <alignment horizontal="center"/>
    </xf>
    <xf numFmtId="0" fontId="10" fillId="0" borderId="67" xfId="0" applyFont="1" applyBorder="1" applyAlignment="1">
      <alignment horizontal="center"/>
    </xf>
    <xf numFmtId="2" fontId="89" fillId="0" borderId="68" xfId="0" applyNumberFormat="1" applyFont="1" applyBorder="1" applyAlignment="1">
      <alignment horizontal="center"/>
    </xf>
    <xf numFmtId="2" fontId="89" fillId="0" borderId="35" xfId="0" applyNumberFormat="1" applyFont="1" applyBorder="1" applyAlignment="1">
      <alignment horizontal="center"/>
    </xf>
    <xf numFmtId="0" fontId="11" fillId="0" borderId="0" xfId="0" applyFont="1"/>
    <xf numFmtId="0" fontId="11" fillId="0" borderId="11" xfId="0" applyFont="1" applyBorder="1"/>
    <xf numFmtId="0" fontId="11" fillId="0" borderId="31" xfId="0" applyFont="1" applyBorder="1"/>
    <xf numFmtId="0" fontId="0" fillId="55" borderId="13" xfId="0" applyFill="1" applyBorder="1" applyAlignment="1">
      <alignment horizontal="center"/>
    </xf>
    <xf numFmtId="165" fontId="12" fillId="0" borderId="0" xfId="2" applyNumberFormat="1" applyFont="1" applyFill="1" applyAlignment="1">
      <alignment horizontal="left"/>
    </xf>
    <xf numFmtId="165" fontId="15" fillId="0" borderId="0" xfId="2" applyNumberFormat="1" applyFont="1" applyFill="1" applyBorder="1" applyAlignment="1">
      <alignment horizontal="left"/>
    </xf>
    <xf numFmtId="0" fontId="14" fillId="0" borderId="8" xfId="0" applyFont="1" applyBorder="1" applyAlignment="1">
      <alignment horizontal="center"/>
    </xf>
    <xf numFmtId="0" fontId="0" fillId="0" borderId="0" xfId="0" applyAlignment="1">
      <alignment horizontal="center" wrapText="1"/>
    </xf>
    <xf numFmtId="165" fontId="0" fillId="0" borderId="0" xfId="0" applyNumberFormat="1"/>
    <xf numFmtId="164" fontId="14" fillId="0" borderId="8" xfId="0" applyNumberFormat="1" applyFont="1" applyBorder="1"/>
    <xf numFmtId="2" fontId="14" fillId="0" borderId="8" xfId="0" applyNumberFormat="1" applyFont="1" applyBorder="1" applyAlignment="1">
      <alignment horizontal="center"/>
    </xf>
    <xf numFmtId="164" fontId="14" fillId="0" borderId="9" xfId="0" applyNumberFormat="1" applyFont="1" applyBorder="1"/>
    <xf numFmtId="10" fontId="14" fillId="0" borderId="0" xfId="3" applyNumberFormat="1" applyFont="1" applyBorder="1"/>
    <xf numFmtId="1" fontId="12" fillId="15" borderId="10" xfId="0" applyNumberFormat="1" applyFont="1" applyFill="1" applyBorder="1"/>
    <xf numFmtId="0" fontId="10" fillId="0" borderId="11" xfId="0" applyFont="1" applyBorder="1"/>
    <xf numFmtId="0" fontId="10" fillId="0" borderId="67" xfId="0" applyFont="1" applyBorder="1"/>
    <xf numFmtId="0" fontId="12" fillId="0" borderId="33" xfId="0" applyFont="1" applyBorder="1"/>
    <xf numFmtId="164" fontId="12" fillId="0" borderId="34" xfId="0" applyNumberFormat="1" applyFont="1" applyBorder="1"/>
    <xf numFmtId="2" fontId="12" fillId="0" borderId="34" xfId="0" applyNumberFormat="1" applyFont="1" applyBorder="1" applyAlignment="1">
      <alignment horizontal="center"/>
    </xf>
    <xf numFmtId="164" fontId="14" fillId="0" borderId="35" xfId="0" applyNumberFormat="1" applyFont="1" applyBorder="1"/>
    <xf numFmtId="0" fontId="12" fillId="0" borderId="7" xfId="0" applyFont="1" applyBorder="1"/>
    <xf numFmtId="10" fontId="12" fillId="0" borderId="8" xfId="3" applyNumberFormat="1" applyFont="1" applyBorder="1"/>
    <xf numFmtId="2" fontId="12" fillId="0" borderId="8" xfId="0" applyNumberFormat="1" applyFont="1" applyBorder="1" applyAlignment="1">
      <alignment horizontal="center"/>
    </xf>
    <xf numFmtId="164" fontId="12" fillId="0" borderId="15" xfId="0" applyNumberFormat="1" applyFont="1" applyBorder="1"/>
    <xf numFmtId="164" fontId="14" fillId="0" borderId="85" xfId="0" applyNumberFormat="1" applyFont="1" applyBorder="1"/>
    <xf numFmtId="171" fontId="0" fillId="0" borderId="10" xfId="0" applyNumberFormat="1" applyBorder="1"/>
    <xf numFmtId="167" fontId="12" fillId="0" borderId="22" xfId="3" applyNumberFormat="1" applyFont="1" applyFill="1" applyBorder="1"/>
    <xf numFmtId="167" fontId="12" fillId="0" borderId="22" xfId="3" applyNumberFormat="1" applyFont="1" applyBorder="1"/>
    <xf numFmtId="167" fontId="12" fillId="0" borderId="10" xfId="3" applyNumberFormat="1" applyFont="1" applyBorder="1"/>
    <xf numFmtId="0" fontId="92" fillId="0" borderId="86" xfId="0" applyFont="1" applyBorder="1"/>
    <xf numFmtId="169" fontId="88" fillId="0" borderId="87" xfId="0" applyNumberFormat="1" applyFont="1" applyBorder="1"/>
    <xf numFmtId="0" fontId="0" fillId="0" borderId="67" xfId="0" applyBorder="1"/>
    <xf numFmtId="0" fontId="0" fillId="0" borderId="81" xfId="0" applyBorder="1"/>
    <xf numFmtId="1" fontId="12" fillId="0" borderId="10" xfId="0" applyNumberFormat="1" applyFont="1" applyBorder="1"/>
    <xf numFmtId="0" fontId="14" fillId="0" borderId="8" xfId="0" applyFont="1" applyBorder="1"/>
    <xf numFmtId="10" fontId="47" fillId="0" borderId="0" xfId="3" applyNumberFormat="1" applyFont="1" applyFill="1" applyBorder="1"/>
    <xf numFmtId="0" fontId="47" fillId="0" borderId="7" xfId="0" applyFont="1" applyBorder="1"/>
    <xf numFmtId="164" fontId="47" fillId="0" borderId="8" xfId="0" applyNumberFormat="1" applyFont="1" applyBorder="1"/>
    <xf numFmtId="2" fontId="47" fillId="0" borderId="8" xfId="0" applyNumberFormat="1" applyFont="1" applyBorder="1" applyAlignment="1">
      <alignment horizontal="center"/>
    </xf>
    <xf numFmtId="164" fontId="47" fillId="0" borderId="9" xfId="0" applyNumberFormat="1" applyFont="1" applyBorder="1"/>
    <xf numFmtId="0" fontId="99" fillId="0" borderId="0" xfId="0" applyFont="1"/>
    <xf numFmtId="0" fontId="98" fillId="0" borderId="0" xfId="0" applyFont="1"/>
    <xf numFmtId="0" fontId="101" fillId="12" borderId="10" xfId="0" applyFont="1" applyFill="1" applyBorder="1" applyAlignment="1">
      <alignment horizontal="center" vertical="center" wrapText="1"/>
    </xf>
    <xf numFmtId="0" fontId="101" fillId="12" borderId="0" xfId="0" applyFont="1" applyFill="1" applyAlignment="1">
      <alignment horizontal="center" vertical="center" wrapText="1"/>
    </xf>
    <xf numFmtId="0" fontId="102" fillId="0" borderId="12" xfId="0" applyFont="1" applyBorder="1"/>
    <xf numFmtId="0" fontId="100" fillId="0" borderId="30" xfId="0" applyFont="1" applyBorder="1" applyAlignment="1">
      <alignment horizontal="center"/>
    </xf>
    <xf numFmtId="1" fontId="102" fillId="0" borderId="30" xfId="0" applyNumberFormat="1" applyFont="1" applyBorder="1" applyAlignment="1">
      <alignment horizontal="center"/>
    </xf>
    <xf numFmtId="164" fontId="102" fillId="0" borderId="13" xfId="0" applyNumberFormat="1" applyFont="1" applyBorder="1" applyAlignment="1">
      <alignment horizontal="center"/>
    </xf>
    <xf numFmtId="164" fontId="103" fillId="0" borderId="10" xfId="0" applyNumberFormat="1" applyFont="1" applyBorder="1" applyAlignment="1">
      <alignment horizontal="center"/>
    </xf>
    <xf numFmtId="164" fontId="103" fillId="0" borderId="0" xfId="0" applyNumberFormat="1" applyFont="1" applyAlignment="1">
      <alignment horizontal="center"/>
    </xf>
    <xf numFmtId="0" fontId="100" fillId="12" borderId="7" xfId="0" applyFont="1" applyFill="1" applyBorder="1"/>
    <xf numFmtId="0" fontId="100" fillId="12" borderId="8" xfId="0" applyFont="1" applyFill="1" applyBorder="1"/>
    <xf numFmtId="0" fontId="100" fillId="12" borderId="9" xfId="0" applyFont="1" applyFill="1" applyBorder="1"/>
    <xf numFmtId="0" fontId="100" fillId="0" borderId="0" xfId="0" applyFont="1"/>
    <xf numFmtId="2" fontId="104" fillId="0" borderId="11" xfId="0" applyNumberFormat="1" applyFont="1" applyBorder="1" applyAlignment="1">
      <alignment horizontal="left"/>
    </xf>
    <xf numFmtId="165" fontId="104" fillId="0" borderId="0" xfId="2" applyNumberFormat="1" applyFont="1" applyFill="1" applyBorder="1" applyAlignment="1">
      <alignment horizontal="left"/>
    </xf>
    <xf numFmtId="2" fontId="104" fillId="0" borderId="0" xfId="0" applyNumberFormat="1" applyFont="1" applyAlignment="1">
      <alignment horizontal="center"/>
    </xf>
    <xf numFmtId="164" fontId="98" fillId="0" borderId="10" xfId="0" applyNumberFormat="1" applyFont="1" applyBorder="1"/>
    <xf numFmtId="43" fontId="99" fillId="0" borderId="10" xfId="1" applyFont="1" applyBorder="1"/>
    <xf numFmtId="43" fontId="99" fillId="0" borderId="0" xfId="1" applyFont="1" applyBorder="1"/>
    <xf numFmtId="164" fontId="104" fillId="0" borderId="12" xfId="0" applyNumberFormat="1" applyFont="1" applyBorder="1"/>
    <xf numFmtId="0" fontId="98" fillId="0" borderId="30" xfId="0" applyFont="1" applyBorder="1"/>
    <xf numFmtId="164" fontId="104" fillId="0" borderId="11" xfId="0" applyNumberFormat="1" applyFont="1" applyBorder="1"/>
    <xf numFmtId="0" fontId="98" fillId="0" borderId="10" xfId="0" applyFont="1" applyBorder="1"/>
    <xf numFmtId="0" fontId="98" fillId="0" borderId="11" xfId="0" applyFont="1" applyBorder="1"/>
    <xf numFmtId="166" fontId="98" fillId="0" borderId="11" xfId="0" applyNumberFormat="1" applyFont="1" applyBorder="1"/>
    <xf numFmtId="165" fontId="98" fillId="0" borderId="0" xfId="0" applyNumberFormat="1" applyFont="1"/>
    <xf numFmtId="171" fontId="98" fillId="0" borderId="10" xfId="0" applyNumberFormat="1" applyFont="1" applyBorder="1"/>
    <xf numFmtId="6" fontId="98" fillId="0" borderId="0" xfId="0" applyNumberFormat="1" applyFont="1"/>
    <xf numFmtId="164" fontId="99" fillId="0" borderId="10" xfId="0" applyNumberFormat="1" applyFont="1" applyBorder="1"/>
    <xf numFmtId="164" fontId="99" fillId="0" borderId="0" xfId="0" applyNumberFormat="1" applyFont="1"/>
    <xf numFmtId="166" fontId="104" fillId="0" borderId="11" xfId="0" applyNumberFormat="1" applyFont="1" applyBorder="1"/>
    <xf numFmtId="0" fontId="100" fillId="0" borderId="26" xfId="0" applyFont="1" applyBorder="1"/>
    <xf numFmtId="164" fontId="100" fillId="0" borderId="27" xfId="0" applyNumberFormat="1" applyFont="1" applyBorder="1"/>
    <xf numFmtId="2" fontId="100" fillId="0" borderId="27" xfId="0" applyNumberFormat="1" applyFont="1" applyBorder="1" applyAlignment="1">
      <alignment horizontal="center"/>
    </xf>
    <xf numFmtId="164" fontId="100" fillId="0" borderId="28" xfId="0" applyNumberFormat="1" applyFont="1" applyBorder="1"/>
    <xf numFmtId="164" fontId="105" fillId="0" borderId="10" xfId="0" applyNumberFormat="1" applyFont="1" applyBorder="1"/>
    <xf numFmtId="164" fontId="105" fillId="0" borderId="0" xfId="0" applyNumberFormat="1" applyFont="1"/>
    <xf numFmtId="166" fontId="104" fillId="0" borderId="14" xfId="0" applyNumberFormat="1" applyFont="1" applyBorder="1"/>
    <xf numFmtId="0" fontId="98" fillId="0" borderId="31" xfId="0" applyFont="1" applyBorder="1"/>
    <xf numFmtId="0" fontId="98" fillId="0" borderId="15" xfId="0" applyFont="1" applyBorder="1"/>
    <xf numFmtId="0" fontId="100" fillId="0" borderId="11" xfId="0" applyFont="1" applyBorder="1"/>
    <xf numFmtId="164" fontId="100" fillId="0" borderId="0" xfId="0" applyNumberFormat="1" applyFont="1"/>
    <xf numFmtId="2" fontId="100" fillId="0" borderId="0" xfId="0" applyNumberFormat="1" applyFont="1" applyAlignment="1">
      <alignment horizontal="center"/>
    </xf>
    <xf numFmtId="164" fontId="100" fillId="0" borderId="10" xfId="0" applyNumberFormat="1" applyFont="1" applyBorder="1"/>
    <xf numFmtId="0" fontId="98" fillId="0" borderId="8" xfId="0" applyFont="1" applyBorder="1"/>
    <xf numFmtId="0" fontId="98" fillId="0" borderId="9" xfId="0" applyFont="1" applyBorder="1"/>
    <xf numFmtId="0" fontId="104" fillId="0" borderId="0" xfId="0" applyFont="1"/>
    <xf numFmtId="1" fontId="100" fillId="0" borderId="0" xfId="0" applyNumberFormat="1" applyFont="1" applyAlignment="1">
      <alignment horizontal="center"/>
    </xf>
    <xf numFmtId="164" fontId="103" fillId="0" borderId="10" xfId="0" applyNumberFormat="1" applyFont="1" applyBorder="1"/>
    <xf numFmtId="164" fontId="103" fillId="0" borderId="0" xfId="0" applyNumberFormat="1" applyFont="1"/>
    <xf numFmtId="0" fontId="104" fillId="0" borderId="12" xfId="0" applyFont="1" applyBorder="1"/>
    <xf numFmtId="165" fontId="104" fillId="0" borderId="30" xfId="2" applyNumberFormat="1" applyFont="1" applyBorder="1"/>
    <xf numFmtId="0" fontId="104" fillId="0" borderId="20" xfId="0" applyFont="1" applyBorder="1"/>
    <xf numFmtId="0" fontId="104" fillId="0" borderId="30" xfId="0" applyFont="1" applyBorder="1"/>
    <xf numFmtId="0" fontId="104" fillId="0" borderId="13" xfId="0" applyFont="1" applyBorder="1"/>
    <xf numFmtId="0" fontId="104" fillId="0" borderId="11" xfId="0" applyFont="1" applyBorder="1"/>
    <xf numFmtId="10" fontId="104" fillId="0" borderId="0" xfId="3" applyNumberFormat="1" applyFont="1" applyFill="1" applyBorder="1" applyAlignment="1">
      <alignment vertical="center"/>
    </xf>
    <xf numFmtId="1" fontId="104" fillId="0" borderId="0" xfId="0" applyNumberFormat="1" applyFont="1" applyAlignment="1">
      <alignment horizontal="center"/>
    </xf>
    <xf numFmtId="164" fontId="104" fillId="0" borderId="10" xfId="0" applyNumberFormat="1" applyFont="1" applyBorder="1"/>
    <xf numFmtId="164" fontId="101" fillId="0" borderId="10" xfId="0" applyNumberFormat="1" applyFont="1" applyBorder="1"/>
    <xf numFmtId="164" fontId="101" fillId="0" borderId="0" xfId="0" applyNumberFormat="1" applyFont="1"/>
    <xf numFmtId="165" fontId="104" fillId="0" borderId="0" xfId="2" applyNumberFormat="1" applyFont="1" applyBorder="1"/>
    <xf numFmtId="0" fontId="104" fillId="0" borderId="10" xfId="0" applyFont="1" applyBorder="1"/>
    <xf numFmtId="0" fontId="104" fillId="0" borderId="26" xfId="0" applyFont="1" applyBorder="1"/>
    <xf numFmtId="164" fontId="104" fillId="0" borderId="27" xfId="0" applyNumberFormat="1" applyFont="1" applyBorder="1"/>
    <xf numFmtId="2" fontId="104" fillId="0" borderId="27" xfId="0" applyNumberFormat="1" applyFont="1" applyBorder="1" applyAlignment="1">
      <alignment horizontal="center"/>
    </xf>
    <xf numFmtId="164" fontId="104" fillId="0" borderId="0" xfId="0" applyNumberFormat="1" applyFont="1"/>
    <xf numFmtId="165" fontId="104" fillId="0" borderId="0" xfId="2" applyNumberFormat="1" applyFont="1" applyFill="1" applyBorder="1" applyAlignment="1">
      <alignment horizontal="center"/>
    </xf>
    <xf numFmtId="164" fontId="106" fillId="0" borderId="10" xfId="0" applyNumberFormat="1" applyFont="1" applyBorder="1"/>
    <xf numFmtId="164" fontId="106" fillId="0" borderId="0" xfId="0" applyNumberFormat="1" applyFont="1"/>
    <xf numFmtId="10" fontId="104" fillId="0" borderId="0" xfId="0" applyNumberFormat="1" applyFont="1"/>
    <xf numFmtId="10" fontId="104" fillId="0" borderId="0" xfId="3" applyNumberFormat="1" applyFont="1" applyFill="1" applyBorder="1"/>
    <xf numFmtId="10" fontId="104" fillId="0" borderId="10" xfId="0" applyNumberFormat="1" applyFont="1" applyBorder="1"/>
    <xf numFmtId="0" fontId="100" fillId="0" borderId="14" xfId="0" applyFont="1" applyBorder="1"/>
    <xf numFmtId="0" fontId="104" fillId="0" borderId="23" xfId="0" applyFont="1" applyBorder="1"/>
    <xf numFmtId="0" fontId="104" fillId="0" borderId="31" xfId="0" applyFont="1" applyBorder="1"/>
    <xf numFmtId="0" fontId="104" fillId="0" borderId="15" xfId="0" applyFont="1" applyBorder="1"/>
    <xf numFmtId="10" fontId="104" fillId="0" borderId="0" xfId="3" applyNumberFormat="1" applyFont="1" applyBorder="1"/>
    <xf numFmtId="0" fontId="100" fillId="0" borderId="36" xfId="0" applyFont="1" applyBorder="1"/>
    <xf numFmtId="164" fontId="100" fillId="0" borderId="37" xfId="0" applyNumberFormat="1" applyFont="1" applyBorder="1"/>
    <xf numFmtId="2" fontId="100" fillId="0" borderId="37" xfId="0" applyNumberFormat="1" applyFont="1" applyBorder="1" applyAlignment="1">
      <alignment horizontal="center"/>
    </xf>
    <xf numFmtId="164" fontId="100" fillId="0" borderId="38" xfId="0" applyNumberFormat="1" applyFont="1" applyBorder="1"/>
    <xf numFmtId="10" fontId="100" fillId="0" borderId="0" xfId="3" applyNumberFormat="1" applyFont="1" applyBorder="1" applyAlignment="1">
      <alignment horizontal="center"/>
    </xf>
    <xf numFmtId="0" fontId="100" fillId="0" borderId="7" xfId="0" applyFont="1" applyBorder="1"/>
    <xf numFmtId="164" fontId="100" fillId="0" borderId="8" xfId="0" applyNumberFormat="1" applyFont="1" applyBorder="1"/>
    <xf numFmtId="2" fontId="100" fillId="0" borderId="8" xfId="0" applyNumberFormat="1" applyFont="1" applyBorder="1" applyAlignment="1">
      <alignment horizontal="center"/>
    </xf>
    <xf numFmtId="164" fontId="100" fillId="0" borderId="9" xfId="0" applyNumberFormat="1" applyFont="1" applyBorder="1"/>
    <xf numFmtId="0" fontId="104" fillId="0" borderId="0" xfId="0" applyFont="1" applyAlignment="1">
      <alignment horizontal="center"/>
    </xf>
    <xf numFmtId="1" fontId="104" fillId="15" borderId="10" xfId="0" applyNumberFormat="1" applyFont="1" applyFill="1" applyBorder="1"/>
    <xf numFmtId="168" fontId="104" fillId="0" borderId="10" xfId="0" applyNumberFormat="1" applyFont="1" applyBorder="1"/>
    <xf numFmtId="10" fontId="100" fillId="0" borderId="31" xfId="3" applyNumberFormat="1" applyFont="1" applyBorder="1"/>
    <xf numFmtId="2" fontId="100" fillId="0" borderId="31" xfId="0" applyNumberFormat="1" applyFont="1" applyBorder="1" applyAlignment="1">
      <alignment horizontal="center"/>
    </xf>
    <xf numFmtId="169" fontId="100" fillId="0" borderId="15" xfId="0" applyNumberFormat="1" applyFont="1" applyBorder="1"/>
    <xf numFmtId="0" fontId="108" fillId="0" borderId="14" xfId="0" applyFont="1" applyBorder="1" applyAlignment="1">
      <alignment wrapText="1"/>
    </xf>
    <xf numFmtId="0" fontId="108" fillId="0" borderId="81" xfId="0" applyFont="1" applyBorder="1" applyAlignment="1">
      <alignment wrapText="1"/>
    </xf>
    <xf numFmtId="0" fontId="109" fillId="0" borderId="82" xfId="0" applyFont="1" applyBorder="1"/>
    <xf numFmtId="169" fontId="105" fillId="14" borderId="83" xfId="0" applyNumberFormat="1" applyFont="1" applyFill="1" applyBorder="1"/>
    <xf numFmtId="0" fontId="110" fillId="0" borderId="11" xfId="0" applyFont="1" applyBorder="1"/>
    <xf numFmtId="0" fontId="110" fillId="0" borderId="67" xfId="0" applyFont="1" applyBorder="1"/>
    <xf numFmtId="0" fontId="106" fillId="0" borderId="77" xfId="0" applyFont="1" applyBorder="1"/>
    <xf numFmtId="169" fontId="101" fillId="0" borderId="51" xfId="0" applyNumberFormat="1" applyFont="1" applyBorder="1"/>
    <xf numFmtId="0" fontId="110" fillId="0" borderId="14" xfId="0" applyFont="1" applyBorder="1"/>
    <xf numFmtId="0" fontId="110" fillId="0" borderId="81" xfId="0" applyFont="1" applyBorder="1"/>
    <xf numFmtId="0" fontId="98" fillId="0" borderId="12" xfId="0" applyFont="1" applyBorder="1" applyAlignment="1">
      <alignment wrapText="1"/>
    </xf>
    <xf numFmtId="0" fontId="98" fillId="0" borderId="80" xfId="0" applyFont="1" applyBorder="1" applyAlignment="1">
      <alignment wrapText="1"/>
    </xf>
    <xf numFmtId="0" fontId="106" fillId="0" borderId="86" xfId="0" applyFont="1" applyBorder="1"/>
    <xf numFmtId="169" fontId="101" fillId="0" borderId="87" xfId="0" applyNumberFormat="1" applyFont="1" applyBorder="1"/>
    <xf numFmtId="0" fontId="106" fillId="0" borderId="71" xfId="0" applyFont="1" applyBorder="1"/>
    <xf numFmtId="169" fontId="101" fillId="0" borderId="84" xfId="0" applyNumberFormat="1" applyFont="1" applyBorder="1"/>
    <xf numFmtId="0" fontId="98" fillId="0" borderId="11" xfId="0" applyFont="1" applyBorder="1" applyAlignment="1">
      <alignment wrapText="1"/>
    </xf>
    <xf numFmtId="0" fontId="98" fillId="0" borderId="67" xfId="0" applyFont="1" applyBorder="1" applyAlignment="1">
      <alignment wrapText="1"/>
    </xf>
    <xf numFmtId="0" fontId="98" fillId="0" borderId="14" xfId="0" applyFont="1" applyBorder="1" applyAlignment="1">
      <alignment wrapText="1"/>
    </xf>
    <xf numFmtId="0" fontId="98" fillId="0" borderId="81" xfId="0" applyFont="1" applyBorder="1" applyAlignment="1">
      <alignment wrapText="1"/>
    </xf>
    <xf numFmtId="0" fontId="106" fillId="0" borderId="82" xfId="0" applyFont="1" applyBorder="1"/>
    <xf numFmtId="169" fontId="101" fillId="0" borderId="83" xfId="0" applyNumberFormat="1" applyFont="1" applyBorder="1"/>
    <xf numFmtId="0" fontId="100" fillId="0" borderId="16" xfId="0" applyFont="1" applyBorder="1" applyAlignment="1">
      <alignment horizontal="center"/>
    </xf>
    <xf numFmtId="2" fontId="104" fillId="0" borderId="18" xfId="0" applyNumberFormat="1" applyFont="1" applyBorder="1" applyAlignment="1">
      <alignment horizontal="center"/>
    </xf>
    <xf numFmtId="2" fontId="104" fillId="0" borderId="19" xfId="0" applyNumberFormat="1" applyFont="1" applyBorder="1" applyAlignment="1">
      <alignment horizontal="center"/>
    </xf>
    <xf numFmtId="2" fontId="104" fillId="0" borderId="17" xfId="0" applyNumberFormat="1" applyFont="1" applyBorder="1" applyAlignment="1">
      <alignment horizontal="center"/>
    </xf>
    <xf numFmtId="2" fontId="104" fillId="0" borderId="21" xfId="0" applyNumberFormat="1" applyFont="1" applyBorder="1" applyAlignment="1">
      <alignment horizontal="center"/>
    </xf>
    <xf numFmtId="2" fontId="104" fillId="0" borderId="22" xfId="0" applyNumberFormat="1" applyFont="1" applyBorder="1" applyAlignment="1">
      <alignment horizontal="center"/>
    </xf>
    <xf numFmtId="2" fontId="104" fillId="0" borderId="20" xfId="0" applyNumberFormat="1" applyFont="1" applyBorder="1" applyAlignment="1">
      <alignment horizontal="center"/>
    </xf>
    <xf numFmtId="2" fontId="104" fillId="0" borderId="31" xfId="0" applyNumberFormat="1" applyFont="1" applyBorder="1" applyAlignment="1">
      <alignment horizontal="center"/>
    </xf>
    <xf numFmtId="2" fontId="104" fillId="0" borderId="15" xfId="0" applyNumberFormat="1" applyFont="1" applyBorder="1" applyAlignment="1">
      <alignment horizontal="center"/>
    </xf>
    <xf numFmtId="2" fontId="104" fillId="0" borderId="23" xfId="0" applyNumberFormat="1" applyFont="1" applyBorder="1" applyAlignment="1">
      <alignment horizontal="center"/>
    </xf>
    <xf numFmtId="0" fontId="100" fillId="0" borderId="29" xfId="0" applyFont="1" applyBorder="1" applyAlignment="1">
      <alignment horizontal="center"/>
    </xf>
    <xf numFmtId="167" fontId="104" fillId="0" borderId="20" xfId="3" applyNumberFormat="1" applyFont="1" applyFill="1" applyBorder="1"/>
    <xf numFmtId="167" fontId="104" fillId="0" borderId="22" xfId="3" applyNumberFormat="1" applyFont="1" applyFill="1" applyBorder="1"/>
    <xf numFmtId="167" fontId="104" fillId="0" borderId="20" xfId="3" applyNumberFormat="1" applyFont="1" applyBorder="1"/>
    <xf numFmtId="167" fontId="104" fillId="0" borderId="22" xfId="3" applyNumberFormat="1" applyFont="1" applyBorder="1"/>
    <xf numFmtId="167" fontId="104" fillId="0" borderId="0" xfId="0" applyNumberFormat="1" applyFont="1"/>
    <xf numFmtId="167" fontId="104" fillId="0" borderId="0" xfId="3" applyNumberFormat="1" applyFont="1" applyBorder="1"/>
    <xf numFmtId="167" fontId="104" fillId="0" borderId="10" xfId="3" applyNumberFormat="1" applyFont="1" applyBorder="1"/>
    <xf numFmtId="10" fontId="104" fillId="13" borderId="23" xfId="0" applyNumberFormat="1" applyFont="1" applyFill="1" applyBorder="1"/>
    <xf numFmtId="10" fontId="104" fillId="13" borderId="24" xfId="3" applyNumberFormat="1" applyFont="1" applyFill="1" applyBorder="1"/>
    <xf numFmtId="10" fontId="104" fillId="13" borderId="25" xfId="3" applyNumberFormat="1" applyFont="1" applyFill="1" applyBorder="1"/>
    <xf numFmtId="0" fontId="104" fillId="13" borderId="14" xfId="0" applyFont="1" applyFill="1" applyBorder="1"/>
    <xf numFmtId="0" fontId="104" fillId="13" borderId="31" xfId="0" applyFont="1" applyFill="1" applyBorder="1" applyAlignment="1">
      <alignment horizontal="center"/>
    </xf>
    <xf numFmtId="2" fontId="104" fillId="0" borderId="10" xfId="0" applyNumberFormat="1" applyFont="1" applyBorder="1" applyAlignment="1">
      <alignment horizontal="center"/>
    </xf>
    <xf numFmtId="0" fontId="98" fillId="0" borderId="12" xfId="0" applyFont="1" applyBorder="1"/>
    <xf numFmtId="0" fontId="78" fillId="0" borderId="88" xfId="0" applyFont="1" applyBorder="1" applyAlignment="1">
      <alignment horizontal="center" vertical="center" wrapText="1"/>
    </xf>
    <xf numFmtId="0" fontId="78" fillId="0" borderId="18" xfId="0" applyFont="1" applyBorder="1" applyAlignment="1">
      <alignment horizontal="center" vertical="center" wrapText="1"/>
    </xf>
    <xf numFmtId="169" fontId="78" fillId="0" borderId="19" xfId="0" applyNumberFormat="1" applyFont="1" applyBorder="1" applyAlignment="1">
      <alignment horizontal="center" vertical="center" wrapText="1"/>
    </xf>
    <xf numFmtId="169" fontId="14" fillId="0" borderId="10" xfId="0" applyNumberFormat="1" applyFont="1" applyBorder="1"/>
    <xf numFmtId="0" fontId="10" fillId="0" borderId="0" xfId="0" applyFont="1" applyAlignment="1">
      <alignment horizontal="center"/>
    </xf>
    <xf numFmtId="168" fontId="0" fillId="0" borderId="10" xfId="0" applyNumberFormat="1" applyBorder="1"/>
    <xf numFmtId="0" fontId="12" fillId="0" borderId="12" xfId="0" applyFont="1" applyBorder="1" applyAlignment="1">
      <alignment wrapText="1"/>
    </xf>
    <xf numFmtId="0" fontId="12" fillId="0" borderId="80" xfId="0" applyFont="1" applyBorder="1" applyAlignment="1">
      <alignment wrapText="1"/>
    </xf>
    <xf numFmtId="0" fontId="12" fillId="0" borderId="31" xfId="0" applyFont="1" applyBorder="1" applyAlignment="1">
      <alignment horizontal="center"/>
    </xf>
    <xf numFmtId="10" fontId="12" fillId="0" borderId="23" xfId="0" applyNumberFormat="1" applyFont="1" applyBorder="1"/>
    <xf numFmtId="10" fontId="12" fillId="0" borderId="24" xfId="3" applyNumberFormat="1" applyFont="1" applyFill="1" applyBorder="1"/>
    <xf numFmtId="10" fontId="12" fillId="0" borderId="25" xfId="3" applyNumberFormat="1" applyFont="1" applyFill="1" applyBorder="1"/>
    <xf numFmtId="10" fontId="12" fillId="0" borderId="31" xfId="0" applyNumberFormat="1" applyFont="1" applyBorder="1"/>
    <xf numFmtId="10" fontId="12" fillId="0" borderId="31" xfId="3" applyNumberFormat="1" applyFont="1" applyFill="1" applyBorder="1"/>
    <xf numFmtId="10" fontId="12" fillId="0" borderId="15" xfId="3" applyNumberFormat="1" applyFont="1" applyFill="1" applyBorder="1"/>
    <xf numFmtId="165" fontId="12" fillId="0" borderId="0" xfId="0" applyNumberFormat="1" applyFont="1"/>
    <xf numFmtId="165" fontId="12" fillId="0" borderId="31" xfId="0" applyNumberFormat="1" applyFont="1" applyBorder="1"/>
    <xf numFmtId="0" fontId="12" fillId="0" borderId="29" xfId="0" applyFont="1" applyBorder="1" applyAlignment="1">
      <alignment horizontal="center"/>
    </xf>
    <xf numFmtId="0" fontId="12" fillId="0" borderId="16" xfId="0" applyFont="1" applyBorder="1" applyAlignment="1">
      <alignment horizontal="center"/>
    </xf>
    <xf numFmtId="10" fontId="12" fillId="0" borderId="30" xfId="0" applyNumberFormat="1" applyFont="1" applyBorder="1" applyAlignment="1">
      <alignment horizontal="center"/>
    </xf>
    <xf numFmtId="10" fontId="12" fillId="0" borderId="0" xfId="0" applyNumberFormat="1" applyFont="1" applyAlignment="1">
      <alignment horizontal="center"/>
    </xf>
    <xf numFmtId="167" fontId="53" fillId="0" borderId="22" xfId="3" applyNumberFormat="1" applyFont="1" applyFill="1" applyBorder="1"/>
    <xf numFmtId="167" fontId="53" fillId="0" borderId="22" xfId="3" applyNumberFormat="1" applyFont="1" applyBorder="1"/>
    <xf numFmtId="167" fontId="53" fillId="0" borderId="10" xfId="3" applyNumberFormat="1" applyFont="1" applyBorder="1"/>
    <xf numFmtId="0" fontId="53" fillId="0" borderId="16" xfId="0" applyFont="1" applyBorder="1" applyAlignment="1">
      <alignment horizontal="center"/>
    </xf>
    <xf numFmtId="0" fontId="53" fillId="0" borderId="29" xfId="0" applyFont="1" applyBorder="1" applyAlignment="1">
      <alignment horizontal="center"/>
    </xf>
    <xf numFmtId="0" fontId="53" fillId="0" borderId="31" xfId="0" applyFont="1" applyBorder="1" applyAlignment="1">
      <alignment horizontal="center"/>
    </xf>
    <xf numFmtId="10" fontId="53" fillId="0" borderId="23" xfId="0" applyNumberFormat="1" applyFont="1" applyBorder="1"/>
    <xf numFmtId="10" fontId="53" fillId="0" borderId="24" xfId="3" applyNumberFormat="1" applyFont="1" applyFill="1" applyBorder="1"/>
    <xf numFmtId="10" fontId="53" fillId="0" borderId="25" xfId="3" applyNumberFormat="1" applyFont="1" applyFill="1" applyBorder="1"/>
    <xf numFmtId="10" fontId="53" fillId="0" borderId="31" xfId="0" applyNumberFormat="1" applyFont="1" applyBorder="1"/>
    <xf numFmtId="10" fontId="53" fillId="0" borderId="31" xfId="3" applyNumberFormat="1" applyFont="1" applyFill="1" applyBorder="1"/>
    <xf numFmtId="10" fontId="53" fillId="0" borderId="15" xfId="3" applyNumberFormat="1" applyFont="1" applyFill="1" applyBorder="1"/>
    <xf numFmtId="0" fontId="28" fillId="0" borderId="89" xfId="0" applyFont="1" applyBorder="1"/>
    <xf numFmtId="0" fontId="28" fillId="0" borderId="90" xfId="0" applyFont="1" applyBorder="1"/>
    <xf numFmtId="0" fontId="107" fillId="0" borderId="31" xfId="0" applyFont="1" applyBorder="1" applyAlignment="1">
      <alignment horizontal="left"/>
    </xf>
    <xf numFmtId="0" fontId="98" fillId="0" borderId="31" xfId="0" applyFont="1" applyBorder="1" applyAlignment="1">
      <alignment horizontal="center" wrapText="1"/>
    </xf>
    <xf numFmtId="0" fontId="101" fillId="0" borderId="10" xfId="0" applyFont="1" applyBorder="1" applyAlignment="1">
      <alignment horizontal="center" vertical="center" wrapText="1"/>
    </xf>
    <xf numFmtId="0" fontId="101" fillId="0" borderId="0" xfId="0" applyFont="1" applyAlignment="1">
      <alignment horizontal="center" vertical="center" wrapText="1"/>
    </xf>
    <xf numFmtId="2" fontId="104" fillId="0" borderId="0" xfId="0" applyNumberFormat="1" applyFont="1" applyAlignment="1">
      <alignment horizontal="left"/>
    </xf>
    <xf numFmtId="43" fontId="99" fillId="0" borderId="10" xfId="1" applyFont="1" applyFill="1" applyBorder="1"/>
    <xf numFmtId="43" fontId="99" fillId="0" borderId="0" xfId="1" applyFont="1" applyFill="1" applyBorder="1"/>
    <xf numFmtId="165" fontId="100" fillId="0" borderId="0" xfId="0" applyNumberFormat="1" applyFont="1"/>
    <xf numFmtId="165" fontId="104" fillId="0" borderId="0" xfId="2" applyNumberFormat="1" applyFont="1" applyFill="1" applyAlignment="1">
      <alignment horizontal="left"/>
    </xf>
    <xf numFmtId="44" fontId="104" fillId="0" borderId="0" xfId="2" applyFont="1" applyFill="1" applyBorder="1" applyAlignment="1">
      <alignment horizontal="left"/>
    </xf>
    <xf numFmtId="2" fontId="104" fillId="0" borderId="24" xfId="0" applyNumberFormat="1" applyFont="1" applyBorder="1" applyAlignment="1">
      <alignment horizontal="center"/>
    </xf>
    <xf numFmtId="2" fontId="104" fillId="0" borderId="25" xfId="0" applyNumberFormat="1" applyFont="1" applyBorder="1" applyAlignment="1">
      <alignment horizontal="center"/>
    </xf>
    <xf numFmtId="10" fontId="100" fillId="0" borderId="30" xfId="0" applyNumberFormat="1" applyFont="1" applyBorder="1" applyAlignment="1">
      <alignment horizontal="center"/>
    </xf>
    <xf numFmtId="0" fontId="104" fillId="0" borderId="17" xfId="0" applyFont="1" applyBorder="1"/>
    <xf numFmtId="0" fontId="104" fillId="0" borderId="19" xfId="0" applyFont="1" applyBorder="1"/>
    <xf numFmtId="0" fontId="104" fillId="0" borderId="21" xfId="0" applyFont="1" applyBorder="1"/>
    <xf numFmtId="0" fontId="104" fillId="0" borderId="22" xfId="0" applyFont="1" applyBorder="1"/>
    <xf numFmtId="10" fontId="100" fillId="0" borderId="0" xfId="3" applyNumberFormat="1" applyFont="1" applyFill="1" applyBorder="1" applyAlignment="1">
      <alignment horizontal="center"/>
    </xf>
    <xf numFmtId="10" fontId="100" fillId="0" borderId="0" xfId="3" applyNumberFormat="1" applyFont="1" applyFill="1" applyBorder="1"/>
    <xf numFmtId="10" fontId="100" fillId="0" borderId="31" xfId="3" applyNumberFormat="1" applyFont="1" applyFill="1" applyBorder="1"/>
    <xf numFmtId="10" fontId="104" fillId="13" borderId="31" xfId="0" applyNumberFormat="1" applyFont="1" applyFill="1" applyBorder="1"/>
    <xf numFmtId="10" fontId="104" fillId="13" borderId="31" xfId="3" applyNumberFormat="1" applyFont="1" applyFill="1" applyBorder="1"/>
    <xf numFmtId="10" fontId="104" fillId="13" borderId="15" xfId="3" applyNumberFormat="1" applyFont="1" applyFill="1" applyBorder="1"/>
    <xf numFmtId="0" fontId="107" fillId="0" borderId="12" xfId="0" applyFont="1" applyBorder="1" applyAlignment="1">
      <alignment horizontal="center"/>
    </xf>
    <xf numFmtId="168" fontId="100" fillId="0" borderId="10" xfId="0" applyNumberFormat="1" applyFont="1" applyBorder="1"/>
    <xf numFmtId="0" fontId="104" fillId="0" borderId="8" xfId="0" applyFont="1" applyBorder="1"/>
    <xf numFmtId="0" fontId="104" fillId="0" borderId="9" xfId="0" applyFont="1" applyBorder="1"/>
    <xf numFmtId="169" fontId="100" fillId="0" borderId="10" xfId="0" applyNumberFormat="1" applyFont="1" applyBorder="1"/>
    <xf numFmtId="0" fontId="109" fillId="0" borderId="77" xfId="0" applyFont="1" applyBorder="1"/>
    <xf numFmtId="0" fontId="107" fillId="0" borderId="30" xfId="0" applyFont="1" applyBorder="1" applyAlignment="1">
      <alignment horizontal="center"/>
    </xf>
    <xf numFmtId="2" fontId="102" fillId="0" borderId="30" xfId="0" applyNumberFormat="1" applyFont="1" applyBorder="1" applyAlignment="1">
      <alignment horizontal="center"/>
    </xf>
    <xf numFmtId="2" fontId="102" fillId="0" borderId="13" xfId="0" applyNumberFormat="1" applyFont="1" applyBorder="1" applyAlignment="1">
      <alignment horizontal="center"/>
    </xf>
    <xf numFmtId="169" fontId="105" fillId="14" borderId="51" xfId="0" applyNumberFormat="1" applyFont="1" applyFill="1" applyBorder="1"/>
    <xf numFmtId="0" fontId="104" fillId="0" borderId="30" xfId="0" applyFont="1" applyBorder="1" applyAlignment="1">
      <alignment horizontal="center"/>
    </xf>
    <xf numFmtId="0" fontId="104" fillId="0" borderId="14" xfId="0" applyFont="1" applyBorder="1"/>
    <xf numFmtId="0" fontId="104" fillId="0" borderId="31" xfId="0" applyFont="1" applyBorder="1" applyAlignment="1">
      <alignment horizontal="center"/>
    </xf>
    <xf numFmtId="10" fontId="104" fillId="0" borderId="23" xfId="0" applyNumberFormat="1" applyFont="1" applyBorder="1"/>
    <xf numFmtId="10" fontId="104" fillId="0" borderId="24" xfId="3" applyNumberFormat="1" applyFont="1" applyFill="1" applyBorder="1"/>
    <xf numFmtId="10" fontId="104" fillId="0" borderId="25" xfId="3" applyNumberFormat="1" applyFont="1" applyFill="1" applyBorder="1"/>
    <xf numFmtId="165" fontId="104" fillId="0" borderId="31" xfId="0" applyNumberFormat="1" applyFont="1" applyBorder="1"/>
    <xf numFmtId="10" fontId="104" fillId="0" borderId="0" xfId="0" applyNumberFormat="1" applyFont="1" applyAlignment="1">
      <alignment horizontal="center"/>
    </xf>
    <xf numFmtId="10" fontId="104" fillId="0" borderId="31" xfId="0" applyNumberFormat="1" applyFont="1" applyBorder="1" applyAlignment="1">
      <alignment horizontal="center"/>
    </xf>
    <xf numFmtId="0" fontId="104" fillId="0" borderId="65" xfId="0" applyFont="1" applyBorder="1" applyAlignment="1">
      <alignment horizontal="center"/>
    </xf>
    <xf numFmtId="0" fontId="104" fillId="0" borderId="29" xfId="0" applyFont="1" applyBorder="1" applyAlignment="1">
      <alignment horizontal="center"/>
    </xf>
    <xf numFmtId="0" fontId="104" fillId="0" borderId="16" xfId="0" applyFont="1" applyBorder="1" applyAlignment="1">
      <alignment horizontal="center"/>
    </xf>
    <xf numFmtId="165" fontId="12" fillId="0" borderId="0" xfId="2" applyNumberFormat="1" applyFont="1" applyFill="1" applyBorder="1"/>
    <xf numFmtId="167" fontId="12" fillId="0" borderId="0" xfId="3" applyNumberFormat="1" applyFont="1" applyFill="1" applyBorder="1"/>
    <xf numFmtId="167" fontId="12" fillId="0" borderId="10" xfId="3" applyNumberFormat="1" applyFont="1" applyFill="1" applyBorder="1"/>
    <xf numFmtId="1" fontId="53" fillId="0" borderId="10" xfId="0" applyNumberFormat="1" applyFont="1" applyBorder="1"/>
    <xf numFmtId="169" fontId="98" fillId="0" borderId="0" xfId="0" applyNumberFormat="1" applyFont="1"/>
    <xf numFmtId="169" fontId="72" fillId="0" borderId="25" xfId="0" applyNumberFormat="1" applyFont="1" applyBorder="1"/>
    <xf numFmtId="169" fontId="72" fillId="56" borderId="87" xfId="0" applyNumberFormat="1" applyFont="1" applyFill="1" applyBorder="1"/>
    <xf numFmtId="169" fontId="105" fillId="0" borderId="51" xfId="0" applyNumberFormat="1" applyFont="1" applyBorder="1"/>
    <xf numFmtId="0" fontId="0" fillId="0" borderId="30" xfId="0" applyBorder="1" applyAlignment="1">
      <alignment horizontal="center" vertical="center"/>
    </xf>
    <xf numFmtId="0" fontId="0" fillId="0" borderId="0" xfId="0" applyAlignment="1">
      <alignment horizontal="center" vertical="center"/>
    </xf>
    <xf numFmtId="169" fontId="0" fillId="0" borderId="10" xfId="0" applyNumberFormat="1" applyBorder="1" applyAlignment="1">
      <alignment horizontal="center"/>
    </xf>
    <xf numFmtId="0" fontId="55" fillId="0" borderId="26" xfId="0" applyFont="1" applyBorder="1"/>
    <xf numFmtId="10" fontId="54" fillId="0" borderId="0" xfId="0" applyNumberFormat="1" applyFont="1"/>
    <xf numFmtId="169" fontId="54" fillId="0" borderId="10" xfId="0" applyNumberFormat="1" applyFont="1" applyBorder="1"/>
    <xf numFmtId="10" fontId="47" fillId="0" borderId="0" xfId="3" applyNumberFormat="1" applyFont="1" applyFill="1"/>
    <xf numFmtId="0" fontId="15" fillId="0" borderId="53" xfId="0" applyFont="1" applyBorder="1"/>
    <xf numFmtId="10" fontId="15" fillId="0" borderId="27" xfId="0" applyNumberFormat="1" applyFont="1" applyBorder="1"/>
    <xf numFmtId="169" fontId="13" fillId="0" borderId="54" xfId="0" applyNumberFormat="1" applyFont="1" applyBorder="1"/>
    <xf numFmtId="10" fontId="53" fillId="0" borderId="0" xfId="3" applyNumberFormat="1" applyFont="1" applyFill="1"/>
    <xf numFmtId="169" fontId="0" fillId="0" borderId="0" xfId="0" applyNumberFormat="1" applyAlignment="1">
      <alignment horizontal="center"/>
    </xf>
    <xf numFmtId="169" fontId="0" fillId="55" borderId="13" xfId="0" applyNumberFormat="1" applyFill="1" applyBorder="1" applyAlignment="1">
      <alignment horizontal="center"/>
    </xf>
    <xf numFmtId="169" fontId="0" fillId="55" borderId="10" xfId="0" applyNumberFormat="1" applyFill="1" applyBorder="1" applyAlignment="1">
      <alignment horizontal="center"/>
    </xf>
    <xf numFmtId="169" fontId="0" fillId="55" borderId="15" xfId="0" applyNumberFormat="1" applyFill="1" applyBorder="1" applyAlignment="1">
      <alignment horizontal="center"/>
    </xf>
    <xf numFmtId="169" fontId="0" fillId="0" borderId="15" xfId="0" applyNumberFormat="1" applyBorder="1" applyAlignment="1">
      <alignment horizontal="center"/>
    </xf>
    <xf numFmtId="169" fontId="0" fillId="0" borderId="13" xfId="0" applyNumberFormat="1" applyBorder="1" applyAlignment="1">
      <alignment horizontal="center"/>
    </xf>
    <xf numFmtId="171" fontId="0" fillId="55" borderId="10" xfId="0" applyNumberFormat="1" applyFill="1" applyBorder="1" applyAlignment="1">
      <alignment horizontal="center"/>
    </xf>
    <xf numFmtId="171" fontId="0" fillId="55" borderId="15" xfId="0" applyNumberFormat="1" applyFill="1" applyBorder="1" applyAlignment="1">
      <alignment horizontal="center"/>
    </xf>
    <xf numFmtId="0" fontId="94" fillId="55" borderId="12" xfId="0" applyFont="1" applyFill="1" applyBorder="1" applyAlignment="1">
      <alignment wrapText="1"/>
    </xf>
    <xf numFmtId="0" fontId="0" fillId="55" borderId="11" xfId="0" applyFill="1" applyBorder="1" applyAlignment="1">
      <alignment wrapText="1"/>
    </xf>
    <xf numFmtId="0" fontId="0" fillId="55" borderId="14" xfId="0" applyFill="1" applyBorder="1" applyAlignment="1">
      <alignment wrapText="1"/>
    </xf>
    <xf numFmtId="0" fontId="94" fillId="0" borderId="11" xfId="0" applyFont="1" applyBorder="1" applyAlignment="1">
      <alignment wrapText="1"/>
    </xf>
    <xf numFmtId="0" fontId="94" fillId="0" borderId="12" xfId="0" applyFont="1" applyBorder="1" applyAlignment="1">
      <alignment wrapText="1"/>
    </xf>
    <xf numFmtId="0" fontId="95" fillId="55" borderId="12" xfId="0" applyFont="1" applyFill="1" applyBorder="1" applyAlignment="1">
      <alignment wrapText="1"/>
    </xf>
    <xf numFmtId="0" fontId="13" fillId="0" borderId="0" xfId="1313" applyFont="1" applyAlignment="1"/>
    <xf numFmtId="0" fontId="30" fillId="0" borderId="0" xfId="1313" applyAlignment="1"/>
    <xf numFmtId="0" fontId="62" fillId="0" borderId="0" xfId="1313" applyFont="1" applyAlignment="1"/>
    <xf numFmtId="0" fontId="63" fillId="0" borderId="0" xfId="1313" applyFont="1" applyAlignment="1"/>
    <xf numFmtId="0" fontId="30" fillId="0" borderId="66" xfId="1313" applyBorder="1" applyAlignment="1"/>
    <xf numFmtId="0" fontId="30" fillId="0" borderId="59" xfId="1313" applyBorder="1" applyAlignment="1"/>
    <xf numFmtId="0" fontId="30" fillId="0" borderId="61" xfId="1313" applyBorder="1" applyAlignment="1"/>
    <xf numFmtId="0" fontId="30" fillId="0" borderId="20" xfId="1313" applyBorder="1" applyAlignment="1"/>
    <xf numFmtId="0" fontId="30" fillId="0" borderId="0" xfId="1313" applyAlignment="1">
      <alignment horizontal="right"/>
    </xf>
    <xf numFmtId="0" fontId="13" fillId="0" borderId="0" xfId="1313" applyFont="1" applyAlignment="1">
      <alignment horizontal="center"/>
    </xf>
    <xf numFmtId="0" fontId="30" fillId="0" borderId="67" xfId="1313" applyBorder="1" applyAlignment="1"/>
    <xf numFmtId="0" fontId="64" fillId="0" borderId="67" xfId="1313" applyFont="1" applyBorder="1" applyAlignment="1">
      <alignment horizontal="center"/>
    </xf>
    <xf numFmtId="174" fontId="30" fillId="0" borderId="67" xfId="1313" applyNumberFormat="1" applyBorder="1" applyAlignment="1">
      <alignment horizontal="center"/>
    </xf>
    <xf numFmtId="0" fontId="30" fillId="0" borderId="67" xfId="1313" applyBorder="1" applyAlignment="1">
      <alignment horizontal="center"/>
    </xf>
    <xf numFmtId="0" fontId="30" fillId="0" borderId="20" xfId="1313" applyBorder="1" applyAlignment="1">
      <alignment horizontal="right"/>
    </xf>
    <xf numFmtId="0" fontId="13" fillId="14" borderId="0" xfId="1313" applyFont="1" applyFill="1" applyAlignment="1">
      <alignment horizontal="right"/>
    </xf>
    <xf numFmtId="10" fontId="13" fillId="14" borderId="67" xfId="1192" applyNumberFormat="1" applyFont="1" applyFill="1" applyBorder="1" applyAlignment="1">
      <alignment horizontal="center"/>
    </xf>
    <xf numFmtId="0" fontId="30" fillId="0" borderId="68" xfId="1313" applyBorder="1" applyAlignment="1"/>
    <xf numFmtId="0" fontId="30" fillId="0" borderId="34" xfId="1313" applyBorder="1" applyAlignment="1"/>
    <xf numFmtId="0" fontId="30" fillId="0" borderId="69" xfId="1313" applyBorder="1" applyAlignment="1"/>
    <xf numFmtId="174" fontId="13" fillId="0" borderId="0" xfId="428" applyNumberFormat="1" applyFont="1"/>
    <xf numFmtId="10" fontId="0" fillId="0" borderId="0" xfId="3" applyNumberFormat="1" applyFont="1" applyBorder="1"/>
    <xf numFmtId="0" fontId="111" fillId="0" borderId="0" xfId="1314"/>
    <xf numFmtId="0" fontId="16" fillId="45" borderId="0" xfId="1314" applyFont="1" applyFill="1"/>
    <xf numFmtId="0" fontId="13" fillId="45" borderId="10" xfId="1314" applyFont="1" applyFill="1" applyBorder="1"/>
    <xf numFmtId="0" fontId="60" fillId="45" borderId="31" xfId="1314" applyFont="1" applyFill="1" applyBorder="1"/>
    <xf numFmtId="0" fontId="13" fillId="45" borderId="15" xfId="1314" applyFont="1" applyFill="1" applyBorder="1"/>
    <xf numFmtId="0" fontId="13" fillId="0" borderId="0" xfId="1314" applyFont="1"/>
    <xf numFmtId="14" fontId="13" fillId="0" borderId="0" xfId="1314" applyNumberFormat="1" applyFont="1"/>
    <xf numFmtId="174" fontId="111" fillId="0" borderId="0" xfId="1314" applyNumberFormat="1"/>
    <xf numFmtId="2" fontId="111" fillId="0" borderId="0" xfId="1314" applyNumberFormat="1"/>
    <xf numFmtId="166" fontId="111" fillId="0" borderId="0" xfId="1314" applyNumberFormat="1"/>
    <xf numFmtId="0" fontId="82" fillId="0" borderId="0" xfId="826" applyFont="1" applyAlignment="1">
      <alignment horizontal="right" vertical="top"/>
    </xf>
    <xf numFmtId="0" fontId="82" fillId="0" borderId="0" xfId="826" applyFont="1" applyAlignment="1">
      <alignment horizontal="right"/>
    </xf>
    <xf numFmtId="6" fontId="79" fillId="0" borderId="0" xfId="826" applyNumberFormat="1" applyFont="1" applyAlignment="1">
      <alignment horizontal="center"/>
    </xf>
    <xf numFmtId="0" fontId="112" fillId="0" borderId="0" xfId="826" applyFont="1" applyAlignment="1">
      <alignment horizontal="right"/>
    </xf>
    <xf numFmtId="0" fontId="113" fillId="0" borderId="0" xfId="826" applyFont="1" applyAlignment="1">
      <alignment horizontal="right" wrapText="1"/>
    </xf>
    <xf numFmtId="0" fontId="112" fillId="0" borderId="14" xfId="826" applyFont="1" applyBorder="1"/>
    <xf numFmtId="0" fontId="112" fillId="0" borderId="12" xfId="826" applyFont="1" applyBorder="1"/>
    <xf numFmtId="0" fontId="112" fillId="0" borderId="11" xfId="826" applyFont="1" applyBorder="1"/>
    <xf numFmtId="165" fontId="53" fillId="0" borderId="10" xfId="2" applyNumberFormat="1" applyFont="1" applyBorder="1"/>
    <xf numFmtId="9" fontId="104" fillId="0" borderId="0" xfId="0" applyNumberFormat="1" applyFont="1"/>
    <xf numFmtId="171" fontId="104" fillId="0" borderId="10" xfId="0" applyNumberFormat="1" applyFont="1" applyBorder="1"/>
    <xf numFmtId="0" fontId="104" fillId="0" borderId="27" xfId="0" applyFont="1" applyBorder="1"/>
    <xf numFmtId="171" fontId="104" fillId="0" borderId="28" xfId="0" applyNumberFormat="1" applyFont="1" applyBorder="1"/>
    <xf numFmtId="171" fontId="104" fillId="0" borderId="11" xfId="0" applyNumberFormat="1" applyFont="1" applyBorder="1"/>
    <xf numFmtId="171" fontId="104" fillId="0" borderId="0" xfId="0" applyNumberFormat="1" applyFont="1" applyAlignment="1">
      <alignment horizontal="right"/>
    </xf>
    <xf numFmtId="0" fontId="100" fillId="0" borderId="33" xfId="0" applyFont="1" applyBorder="1"/>
    <xf numFmtId="10" fontId="100" fillId="0" borderId="34" xfId="0" applyNumberFormat="1" applyFont="1" applyBorder="1"/>
    <xf numFmtId="0" fontId="100" fillId="0" borderId="34" xfId="0" applyFont="1" applyBorder="1"/>
    <xf numFmtId="169" fontId="100" fillId="0" borderId="35" xfId="0" applyNumberFormat="1" applyFont="1" applyBorder="1"/>
    <xf numFmtId="10" fontId="104" fillId="0" borderId="27" xfId="0" applyNumberFormat="1" applyFont="1" applyBorder="1"/>
    <xf numFmtId="165" fontId="100" fillId="14" borderId="28" xfId="2" applyNumberFormat="1" applyFont="1" applyFill="1" applyBorder="1"/>
    <xf numFmtId="171" fontId="104" fillId="0" borderId="30" xfId="2" applyNumberFormat="1" applyFont="1" applyBorder="1"/>
    <xf numFmtId="0" fontId="100" fillId="0" borderId="30" xfId="0" applyFont="1" applyBorder="1"/>
    <xf numFmtId="0" fontId="100" fillId="0" borderId="13" xfId="0" applyFont="1" applyBorder="1"/>
    <xf numFmtId="171" fontId="104" fillId="0" borderId="0" xfId="2" applyNumberFormat="1" applyFont="1" applyBorder="1"/>
    <xf numFmtId="0" fontId="100" fillId="0" borderId="10" xfId="0" applyFont="1" applyBorder="1"/>
    <xf numFmtId="171" fontId="104" fillId="0" borderId="31" xfId="2" applyNumberFormat="1" applyFont="1" applyBorder="1"/>
    <xf numFmtId="0" fontId="100" fillId="0" borderId="31" xfId="0" applyFont="1" applyBorder="1"/>
    <xf numFmtId="0" fontId="100" fillId="0" borderId="15" xfId="0" applyFont="1" applyBorder="1"/>
    <xf numFmtId="0" fontId="104" fillId="0" borderId="25" xfId="0" applyFont="1" applyBorder="1"/>
    <xf numFmtId="0" fontId="104" fillId="0" borderId="7" xfId="0" applyFont="1" applyBorder="1"/>
    <xf numFmtId="10" fontId="104" fillId="0" borderId="8" xfId="3" applyNumberFormat="1" applyFont="1" applyBorder="1"/>
    <xf numFmtId="171" fontId="104" fillId="0" borderId="0" xfId="0" applyNumberFormat="1" applyFont="1"/>
    <xf numFmtId="43" fontId="104" fillId="0" borderId="0" xfId="1" applyFont="1" applyFill="1" applyBorder="1"/>
    <xf numFmtId="171" fontId="100" fillId="0" borderId="7" xfId="0" applyNumberFormat="1" applyFont="1" applyBorder="1"/>
    <xf numFmtId="171" fontId="100" fillId="0" borderId="8" xfId="0" applyNumberFormat="1" applyFont="1" applyBorder="1"/>
    <xf numFmtId="43" fontId="100" fillId="0" borderId="8" xfId="1" applyFont="1" applyFill="1" applyBorder="1"/>
    <xf numFmtId="171" fontId="100" fillId="0" borderId="9" xfId="0" applyNumberFormat="1" applyFont="1" applyBorder="1"/>
    <xf numFmtId="0" fontId="104" fillId="0" borderId="30" xfId="0" applyFont="1" applyBorder="1" applyAlignment="1">
      <alignment horizontal="right"/>
    </xf>
    <xf numFmtId="43" fontId="104" fillId="0" borderId="30" xfId="1" applyFont="1" applyFill="1" applyBorder="1" applyAlignment="1">
      <alignment horizontal="right"/>
    </xf>
    <xf numFmtId="44" fontId="104" fillId="0" borderId="0" xfId="2" applyFont="1" applyFill="1" applyBorder="1"/>
    <xf numFmtId="169" fontId="104" fillId="0" borderId="0" xfId="0" applyNumberFormat="1" applyFont="1"/>
    <xf numFmtId="0" fontId="100" fillId="0" borderId="8" xfId="0" applyFont="1" applyBorder="1"/>
    <xf numFmtId="169" fontId="104" fillId="0" borderId="7" xfId="0" applyNumberFormat="1" applyFont="1" applyBorder="1"/>
    <xf numFmtId="169" fontId="104" fillId="0" borderId="8" xfId="0" applyNumberFormat="1" applyFont="1" applyBorder="1"/>
    <xf numFmtId="43" fontId="104" fillId="0" borderId="8" xfId="1" applyFont="1" applyFill="1" applyBorder="1"/>
    <xf numFmtId="171" fontId="104" fillId="0" borderId="9" xfId="0" applyNumberFormat="1" applyFont="1" applyBorder="1"/>
    <xf numFmtId="169" fontId="104" fillId="0" borderId="11" xfId="0" applyNumberFormat="1" applyFont="1" applyBorder="1"/>
    <xf numFmtId="169" fontId="100" fillId="0" borderId="11" xfId="0" applyNumberFormat="1" applyFont="1" applyBorder="1"/>
    <xf numFmtId="169" fontId="100" fillId="0" borderId="0" xfId="0" applyNumberFormat="1" applyFont="1"/>
    <xf numFmtId="43" fontId="100" fillId="0" borderId="0" xfId="1" applyFont="1" applyFill="1" applyBorder="1"/>
    <xf numFmtId="171" fontId="100" fillId="0" borderId="10" xfId="0" applyNumberFormat="1" applyFont="1" applyBorder="1"/>
    <xf numFmtId="169" fontId="100" fillId="0" borderId="14" xfId="0" applyNumberFormat="1" applyFont="1" applyBorder="1"/>
    <xf numFmtId="169" fontId="100" fillId="0" borderId="31" xfId="0" applyNumberFormat="1" applyFont="1" applyBorder="1"/>
    <xf numFmtId="171" fontId="100" fillId="14" borderId="15" xfId="0" applyNumberFormat="1" applyFont="1" applyFill="1" applyBorder="1"/>
    <xf numFmtId="10" fontId="100" fillId="0" borderId="67" xfId="0" applyNumberFormat="1" applyFont="1" applyBorder="1" applyAlignment="1">
      <alignment horizontal="center"/>
    </xf>
    <xf numFmtId="10" fontId="0" fillId="0" borderId="0" xfId="0" applyNumberFormat="1"/>
    <xf numFmtId="165" fontId="104" fillId="0" borderId="80" xfId="0" applyNumberFormat="1" applyFont="1" applyBorder="1"/>
    <xf numFmtId="165" fontId="104" fillId="0" borderId="67" xfId="0" applyNumberFormat="1" applyFont="1" applyBorder="1"/>
    <xf numFmtId="0" fontId="1" fillId="0" borderId="0" xfId="826"/>
    <xf numFmtId="0" fontId="64" fillId="0" borderId="0" xfId="1312" applyFont="1" applyAlignment="1">
      <alignment horizontal="center"/>
    </xf>
    <xf numFmtId="174" fontId="30" fillId="0" borderId="0" xfId="1312" applyNumberFormat="1" applyAlignment="1">
      <alignment horizontal="center"/>
    </xf>
    <xf numFmtId="0" fontId="30" fillId="0" borderId="0" xfId="1312" applyAlignment="1">
      <alignment horizontal="center"/>
    </xf>
    <xf numFmtId="0" fontId="13" fillId="0" borderId="0" xfId="1312" applyFont="1" applyAlignment="1">
      <alignment horizontal="right"/>
    </xf>
    <xf numFmtId="10" fontId="13" fillId="0" borderId="0" xfId="1190" applyNumberFormat="1" applyFont="1" applyFill="1" applyBorder="1" applyAlignment="1">
      <alignment horizontal="center"/>
    </xf>
    <xf numFmtId="3" fontId="13" fillId="0" borderId="0" xfId="1315" applyFont="1" applyAlignment="1"/>
    <xf numFmtId="174" fontId="15" fillId="0" borderId="53" xfId="1315" applyNumberFormat="1" applyBorder="1" applyAlignment="1"/>
    <xf numFmtId="174" fontId="15" fillId="0" borderId="0" xfId="1315" applyNumberFormat="1" applyAlignment="1"/>
    <xf numFmtId="0" fontId="97" fillId="57" borderId="0" xfId="1313" applyFont="1" applyFill="1" applyAlignment="1">
      <alignment horizontal="center"/>
    </xf>
    <xf numFmtId="0" fontId="97" fillId="58" borderId="0" xfId="1313" applyFont="1" applyFill="1" applyAlignment="1">
      <alignment horizontal="center"/>
    </xf>
    <xf numFmtId="174" fontId="15" fillId="0" borderId="77" xfId="1315" applyNumberFormat="1" applyBorder="1" applyAlignment="1"/>
    <xf numFmtId="10" fontId="13" fillId="14" borderId="67" xfId="1316" applyNumberFormat="1" applyFont="1" applyFill="1" applyBorder="1" applyAlignment="1">
      <alignment horizontal="center"/>
    </xf>
    <xf numFmtId="0" fontId="0" fillId="0" borderId="11" xfId="0" applyBorder="1" applyAlignment="1">
      <alignment horizontal="left" wrapText="1"/>
    </xf>
    <xf numFmtId="10" fontId="111" fillId="0" borderId="0" xfId="3" applyNumberFormat="1" applyFont="1"/>
    <xf numFmtId="10" fontId="111" fillId="0" borderId="0" xfId="1314" applyNumberFormat="1"/>
    <xf numFmtId="165" fontId="111" fillId="0" borderId="0" xfId="2" applyNumberFormat="1" applyFont="1" applyFill="1" applyBorder="1"/>
    <xf numFmtId="44" fontId="111" fillId="0" borderId="0" xfId="1314" applyNumberFormat="1"/>
    <xf numFmtId="10" fontId="15" fillId="0" borderId="0" xfId="1317" applyNumberFormat="1" applyFont="1" applyFill="1" applyBorder="1"/>
    <xf numFmtId="10" fontId="13" fillId="0" borderId="0" xfId="1317" applyNumberFormat="1" applyFont="1" applyFill="1" applyBorder="1"/>
    <xf numFmtId="0" fontId="15" fillId="0" borderId="0" xfId="1314" applyFont="1"/>
    <xf numFmtId="0" fontId="59" fillId="45" borderId="30" xfId="1314" applyFont="1" applyFill="1" applyBorder="1" applyAlignment="1">
      <alignment horizontal="left"/>
    </xf>
    <xf numFmtId="0" fontId="59" fillId="45" borderId="13" xfId="1314" applyFont="1" applyFill="1" applyBorder="1" applyAlignment="1">
      <alignment horizontal="left"/>
    </xf>
    <xf numFmtId="0" fontId="30" fillId="0" borderId="20" xfId="1313" applyBorder="1" applyAlignment="1">
      <alignment horizontal="right"/>
    </xf>
    <xf numFmtId="0" fontId="30" fillId="0" borderId="0" xfId="1313" applyAlignment="1">
      <alignment horizontal="right"/>
    </xf>
    <xf numFmtId="0" fontId="30" fillId="0" borderId="0" xfId="1312" applyAlignment="1">
      <alignment horizontal="right"/>
    </xf>
    <xf numFmtId="0" fontId="59" fillId="45" borderId="30" xfId="428" applyFont="1" applyFill="1" applyBorder="1" applyAlignment="1">
      <alignment horizontal="left"/>
    </xf>
    <xf numFmtId="0" fontId="59" fillId="45" borderId="13" xfId="428" applyFont="1" applyFill="1" applyBorder="1" applyAlignment="1">
      <alignment horizontal="left"/>
    </xf>
    <xf numFmtId="0" fontId="79" fillId="0" borderId="13" xfId="826" applyFont="1" applyBorder="1" applyAlignment="1">
      <alignment horizontal="left" vertical="center" wrapText="1"/>
    </xf>
    <xf numFmtId="0" fontId="79" fillId="0" borderId="15" xfId="826" applyFont="1" applyBorder="1" applyAlignment="1">
      <alignment horizontal="left" vertical="center" wrapText="1"/>
    </xf>
    <xf numFmtId="0" fontId="79" fillId="0" borderId="30" xfId="826" applyFont="1" applyBorder="1" applyAlignment="1">
      <alignment horizontal="left" vertical="top" wrapText="1"/>
    </xf>
    <xf numFmtId="0" fontId="79" fillId="0" borderId="31" xfId="826" applyFont="1" applyBorder="1" applyAlignment="1">
      <alignment horizontal="left" vertical="top" wrapText="1"/>
    </xf>
    <xf numFmtId="0" fontId="79" fillId="0" borderId="10" xfId="826" applyFont="1" applyBorder="1" applyAlignment="1">
      <alignment horizontal="left" vertical="center" wrapText="1"/>
    </xf>
    <xf numFmtId="49" fontId="79" fillId="0" borderId="13" xfId="826" applyNumberFormat="1" applyFont="1" applyBorder="1" applyAlignment="1">
      <alignment horizontal="left" vertical="center" wrapText="1"/>
    </xf>
    <xf numFmtId="49" fontId="79" fillId="0" borderId="15" xfId="826" applyNumberFormat="1" applyFont="1" applyBorder="1" applyAlignment="1">
      <alignment horizontal="left" vertical="center" wrapText="1"/>
    </xf>
    <xf numFmtId="0" fontId="79" fillId="0" borderId="30" xfId="826" applyFont="1" applyBorder="1" applyAlignment="1">
      <alignment vertical="top" wrapText="1"/>
    </xf>
    <xf numFmtId="0" fontId="79" fillId="0" borderId="31" xfId="826" applyFont="1" applyBorder="1" applyAlignment="1">
      <alignment vertical="top" wrapText="1"/>
    </xf>
    <xf numFmtId="0" fontId="79" fillId="0" borderId="0" xfId="826" applyFont="1" applyAlignment="1">
      <alignment horizontal="left" vertical="top" wrapText="1"/>
    </xf>
    <xf numFmtId="0" fontId="79" fillId="0" borderId="0" xfId="826" applyFont="1" applyAlignment="1">
      <alignment horizontal="center"/>
    </xf>
    <xf numFmtId="0" fontId="81" fillId="0" borderId="0" xfId="826" applyFont="1" applyAlignment="1">
      <alignment horizontal="center"/>
    </xf>
    <xf numFmtId="0" fontId="30" fillId="0" borderId="20" xfId="1312" applyBorder="1" applyAlignment="1">
      <alignment horizontal="right"/>
    </xf>
    <xf numFmtId="0" fontId="8" fillId="0" borderId="0" xfId="0" applyFont="1" applyAlignment="1">
      <alignment wrapText="1"/>
    </xf>
    <xf numFmtId="0" fontId="104" fillId="0" borderId="12" xfId="0" applyFont="1" applyBorder="1" applyAlignment="1">
      <alignment horizontal="center" vertical="center" wrapText="1"/>
    </xf>
    <xf numFmtId="0" fontId="104" fillId="0" borderId="30" xfId="0" applyFont="1" applyBorder="1" applyAlignment="1">
      <alignment horizontal="center" vertical="center" wrapText="1"/>
    </xf>
    <xf numFmtId="0" fontId="104" fillId="0" borderId="13" xfId="0" applyFont="1" applyBorder="1" applyAlignment="1">
      <alignment horizontal="center" vertical="center" wrapText="1"/>
    </xf>
    <xf numFmtId="0" fontId="104" fillId="0" borderId="14" xfId="0" applyFont="1" applyBorder="1" applyAlignment="1">
      <alignment horizontal="center" vertical="center" wrapText="1"/>
    </xf>
    <xf numFmtId="0" fontId="104" fillId="0" borderId="31" xfId="0" applyFont="1" applyBorder="1" applyAlignment="1">
      <alignment horizontal="center" vertical="center" wrapText="1"/>
    </xf>
    <xf numFmtId="0" fontId="104" fillId="0" borderId="15" xfId="0" applyFont="1" applyBorder="1" applyAlignment="1">
      <alignment horizontal="center" vertical="center" wrapText="1"/>
    </xf>
    <xf numFmtId="0" fontId="98" fillId="0" borderId="31" xfId="0" applyFont="1" applyBorder="1" applyAlignment="1">
      <alignment horizontal="center" wrapText="1"/>
    </xf>
    <xf numFmtId="0" fontId="107" fillId="0" borderId="12" xfId="0" applyFont="1" applyBorder="1" applyAlignment="1">
      <alignment horizontal="center"/>
    </xf>
    <xf numFmtId="0" fontId="107" fillId="0" borderId="80" xfId="0" applyFont="1" applyBorder="1" applyAlignment="1">
      <alignment horizontal="center"/>
    </xf>
    <xf numFmtId="2" fontId="102" fillId="0" borderId="79" xfId="0" applyNumberFormat="1" applyFont="1" applyBorder="1" applyAlignment="1">
      <alignment horizontal="center"/>
    </xf>
    <xf numFmtId="2" fontId="102" fillId="0" borderId="64" xfId="0" applyNumberFormat="1" applyFont="1" applyBorder="1" applyAlignment="1">
      <alignment horizontal="center"/>
    </xf>
    <xf numFmtId="0" fontId="100" fillId="53" borderId="7" xfId="0" applyFont="1" applyFill="1" applyBorder="1" applyAlignment="1">
      <alignment horizontal="center"/>
    </xf>
    <xf numFmtId="0" fontId="100" fillId="53" borderId="8" xfId="0" applyFont="1" applyFill="1" applyBorder="1" applyAlignment="1">
      <alignment horizontal="center"/>
    </xf>
    <xf numFmtId="0" fontId="100" fillId="53" borderId="9" xfId="0" applyFont="1" applyFill="1" applyBorder="1" applyAlignment="1">
      <alignment horizontal="center"/>
    </xf>
    <xf numFmtId="0" fontId="104" fillId="0" borderId="7" xfId="0" applyFont="1" applyBorder="1" applyAlignment="1">
      <alignment horizontal="center"/>
    </xf>
    <xf numFmtId="0" fontId="104" fillId="0" borderId="78" xfId="0" applyFont="1" applyBorder="1" applyAlignment="1">
      <alignment horizontal="center"/>
    </xf>
    <xf numFmtId="0" fontId="14" fillId="12" borderId="7" xfId="0" applyFont="1" applyFill="1" applyBorder="1" applyAlignment="1">
      <alignment horizontal="center"/>
    </xf>
    <xf numFmtId="0" fontId="14" fillId="12" borderId="8" xfId="0" applyFont="1" applyFill="1" applyBorder="1" applyAlignment="1">
      <alignment horizontal="center"/>
    </xf>
    <xf numFmtId="0" fontId="14" fillId="12" borderId="9" xfId="0" applyFont="1" applyFill="1" applyBorder="1" applyAlignment="1">
      <alignment horizontal="center"/>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7" xfId="0" applyFont="1" applyBorder="1" applyAlignment="1">
      <alignment horizontal="center"/>
    </xf>
    <xf numFmtId="0" fontId="14" fillId="0" borderId="8" xfId="0" applyFont="1" applyBorder="1" applyAlignment="1">
      <alignment horizontal="center"/>
    </xf>
    <xf numFmtId="0" fontId="14" fillId="0" borderId="9" xfId="0" applyFont="1" applyBorder="1" applyAlignment="1">
      <alignment horizontal="center"/>
    </xf>
    <xf numFmtId="0" fontId="14" fillId="0" borderId="78" xfId="0" applyFont="1" applyBorder="1" applyAlignment="1">
      <alignment horizontal="center"/>
    </xf>
    <xf numFmtId="0" fontId="10" fillId="0" borderId="12" xfId="0" applyFont="1" applyBorder="1" applyAlignment="1">
      <alignment horizontal="center"/>
    </xf>
    <xf numFmtId="0" fontId="10" fillId="0" borderId="80" xfId="0" applyFont="1" applyBorder="1" applyAlignment="1">
      <alignment horizontal="center"/>
    </xf>
    <xf numFmtId="2" fontId="89" fillId="0" borderId="79" xfId="0" applyNumberFormat="1" applyFont="1" applyBorder="1" applyAlignment="1">
      <alignment horizontal="center"/>
    </xf>
    <xf numFmtId="2" fontId="89" fillId="0" borderId="64" xfId="0" applyNumberFormat="1" applyFont="1" applyBorder="1" applyAlignment="1">
      <alignment horizontal="center"/>
    </xf>
    <xf numFmtId="0" fontId="0" fillId="0" borderId="31" xfId="0" applyBorder="1" applyAlignment="1">
      <alignment horizontal="center" wrapText="1"/>
    </xf>
    <xf numFmtId="0" fontId="14" fillId="53" borderId="7" xfId="0" applyFont="1" applyFill="1" applyBorder="1" applyAlignment="1">
      <alignment horizontal="center"/>
    </xf>
    <xf numFmtId="0" fontId="14" fillId="53" borderId="8" xfId="0" applyFont="1" applyFill="1" applyBorder="1" applyAlignment="1">
      <alignment horizontal="center"/>
    </xf>
    <xf numFmtId="0" fontId="14" fillId="53" borderId="9" xfId="0" applyFont="1" applyFill="1" applyBorder="1" applyAlignment="1">
      <alignment horizontal="center"/>
    </xf>
    <xf numFmtId="0" fontId="14" fillId="49" borderId="7" xfId="0" applyFont="1" applyFill="1" applyBorder="1" applyAlignment="1">
      <alignment horizontal="center"/>
    </xf>
    <xf numFmtId="0" fontId="14" fillId="49" borderId="8" xfId="0" applyFont="1" applyFill="1" applyBorder="1" applyAlignment="1">
      <alignment horizontal="center"/>
    </xf>
    <xf numFmtId="0" fontId="14" fillId="49" borderId="9" xfId="0" applyFont="1" applyFill="1" applyBorder="1" applyAlignment="1">
      <alignment horizontal="center"/>
    </xf>
    <xf numFmtId="0" fontId="10" fillId="53" borderId="11" xfId="0" applyFont="1" applyFill="1" applyBorder="1" applyAlignment="1">
      <alignment horizontal="center"/>
    </xf>
    <xf numFmtId="0" fontId="10" fillId="53" borderId="67" xfId="0" applyFont="1" applyFill="1" applyBorder="1" applyAlignment="1">
      <alignment horizontal="center"/>
    </xf>
    <xf numFmtId="0" fontId="10" fillId="53" borderId="14" xfId="0" applyFont="1" applyFill="1" applyBorder="1" applyAlignment="1">
      <alignment horizontal="center"/>
    </xf>
    <xf numFmtId="0" fontId="10" fillId="53" borderId="81" xfId="0" applyFont="1" applyFill="1" applyBorder="1" applyAlignment="1">
      <alignment horizontal="center"/>
    </xf>
    <xf numFmtId="0" fontId="14" fillId="49" borderId="7" xfId="0" applyFont="1" applyFill="1" applyBorder="1" applyAlignment="1">
      <alignment horizontal="center" wrapText="1"/>
    </xf>
    <xf numFmtId="0" fontId="14" fillId="49" borderId="8" xfId="0" applyFont="1" applyFill="1" applyBorder="1" applyAlignment="1">
      <alignment horizontal="center" wrapText="1"/>
    </xf>
    <xf numFmtId="0" fontId="14" fillId="49" borderId="9" xfId="0" applyFont="1" applyFill="1" applyBorder="1" applyAlignment="1">
      <alignment horizontal="center" wrapText="1"/>
    </xf>
    <xf numFmtId="0" fontId="10" fillId="0" borderId="30" xfId="0" applyFont="1" applyBorder="1" applyAlignment="1">
      <alignment horizontal="center"/>
    </xf>
    <xf numFmtId="2" fontId="89" fillId="0" borderId="30" xfId="0" applyNumberFormat="1" applyFont="1" applyBorder="1" applyAlignment="1">
      <alignment horizontal="center"/>
    </xf>
    <xf numFmtId="2" fontId="89" fillId="0" borderId="13" xfId="0" applyNumberFormat="1" applyFont="1" applyBorder="1" applyAlignment="1">
      <alignment horizontal="center"/>
    </xf>
    <xf numFmtId="0" fontId="0" fillId="0" borderId="0" xfId="0" applyAlignment="1">
      <alignment horizontal="center" wrapText="1"/>
    </xf>
    <xf numFmtId="0" fontId="0" fillId="53" borderId="11" xfId="0" applyFill="1" applyBorder="1" applyAlignment="1">
      <alignment horizontal="center" wrapText="1"/>
    </xf>
    <xf numFmtId="0" fontId="0" fillId="53" borderId="67" xfId="0" applyFill="1" applyBorder="1" applyAlignment="1">
      <alignment horizontal="center" wrapText="1"/>
    </xf>
    <xf numFmtId="0" fontId="0" fillId="53" borderId="14" xfId="0" applyFill="1" applyBorder="1" applyAlignment="1">
      <alignment horizontal="center" wrapText="1"/>
    </xf>
    <xf numFmtId="0" fontId="0" fillId="53" borderId="81" xfId="0" applyFill="1" applyBorder="1" applyAlignment="1">
      <alignment horizontal="center" wrapText="1"/>
    </xf>
    <xf numFmtId="0" fontId="12" fillId="12" borderId="7" xfId="0" applyFont="1" applyFill="1" applyBorder="1" applyAlignment="1">
      <alignment horizontal="center"/>
    </xf>
    <xf numFmtId="0" fontId="12" fillId="12" borderId="8" xfId="0" applyFont="1" applyFill="1" applyBorder="1" applyAlignment="1">
      <alignment horizontal="center"/>
    </xf>
    <xf numFmtId="0" fontId="12" fillId="12" borderId="9" xfId="0" applyFont="1" applyFill="1" applyBorder="1" applyAlignment="1">
      <alignment horizontal="center"/>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7" xfId="0" applyFont="1" applyBorder="1" applyAlignment="1">
      <alignment horizontal="center"/>
    </xf>
    <xf numFmtId="0" fontId="12" fillId="0" borderId="8" xfId="0" applyFont="1" applyBorder="1" applyAlignment="1">
      <alignment horizontal="center"/>
    </xf>
    <xf numFmtId="0" fontId="12" fillId="0" borderId="9" xfId="0" applyFont="1" applyBorder="1" applyAlignment="1">
      <alignment horizontal="center"/>
    </xf>
    <xf numFmtId="0" fontId="12" fillId="0" borderId="78" xfId="0" applyFont="1" applyBorder="1" applyAlignment="1">
      <alignment horizontal="center"/>
    </xf>
    <xf numFmtId="2" fontId="70" fillId="0" borderId="17" xfId="0" applyNumberFormat="1" applyFont="1" applyBorder="1" applyAlignment="1">
      <alignment horizontal="center"/>
    </xf>
    <xf numFmtId="2" fontId="70" fillId="14" borderId="13" xfId="0" applyNumberFormat="1" applyFont="1" applyFill="1" applyBorder="1" applyAlignment="1">
      <alignment horizontal="center"/>
    </xf>
    <xf numFmtId="0" fontId="13" fillId="0" borderId="7" xfId="0" applyFont="1" applyBorder="1" applyAlignment="1">
      <alignment horizontal="center"/>
    </xf>
    <xf numFmtId="0" fontId="13" fillId="0" borderId="8" xfId="0" applyFont="1" applyBorder="1" applyAlignment="1">
      <alignment horizontal="center"/>
    </xf>
    <xf numFmtId="0" fontId="13" fillId="0" borderId="9" xfId="0" applyFont="1" applyBorder="1" applyAlignment="1">
      <alignment horizontal="center"/>
    </xf>
    <xf numFmtId="0" fontId="53" fillId="12" borderId="7" xfId="0" applyFont="1" applyFill="1" applyBorder="1" applyAlignment="1">
      <alignment horizontal="center"/>
    </xf>
    <xf numFmtId="0" fontId="53" fillId="12" borderId="8" xfId="0" applyFont="1" applyFill="1" applyBorder="1" applyAlignment="1">
      <alignment horizontal="center"/>
    </xf>
    <xf numFmtId="0" fontId="53" fillId="12" borderId="9" xfId="0" applyFont="1" applyFill="1" applyBorder="1" applyAlignment="1">
      <alignment horizontal="center"/>
    </xf>
    <xf numFmtId="0" fontId="53" fillId="0" borderId="12" xfId="0" applyFont="1" applyBorder="1" applyAlignment="1">
      <alignment horizontal="center" vertical="center" wrapText="1"/>
    </xf>
    <xf numFmtId="0" fontId="53" fillId="0" borderId="13" xfId="0" applyFont="1" applyBorder="1" applyAlignment="1">
      <alignment horizontal="center" vertical="center" wrapText="1"/>
    </xf>
    <xf numFmtId="0" fontId="53" fillId="0" borderId="14" xfId="0" applyFont="1" applyBorder="1" applyAlignment="1">
      <alignment horizontal="center" vertical="center" wrapText="1"/>
    </xf>
    <xf numFmtId="0" fontId="53" fillId="0" borderId="15" xfId="0" applyFont="1" applyBorder="1" applyAlignment="1">
      <alignment horizontal="center" vertical="center" wrapText="1"/>
    </xf>
    <xf numFmtId="0" fontId="53" fillId="0" borderId="7" xfId="0" applyFont="1" applyBorder="1" applyAlignment="1">
      <alignment horizontal="center"/>
    </xf>
    <xf numFmtId="0" fontId="53" fillId="0" borderId="8" xfId="0" applyFont="1" applyBorder="1" applyAlignment="1">
      <alignment horizontal="center"/>
    </xf>
    <xf numFmtId="0" fontId="53" fillId="0" borderId="9" xfId="0" applyFont="1" applyBorder="1" applyAlignment="1">
      <alignment horizontal="center"/>
    </xf>
    <xf numFmtId="0" fontId="53" fillId="0" borderId="78" xfId="0" applyFont="1" applyBorder="1" applyAlignment="1">
      <alignment horizontal="center"/>
    </xf>
    <xf numFmtId="0" fontId="104" fillId="0" borderId="11" xfId="0" applyFont="1" applyBorder="1" applyAlignment="1">
      <alignment horizontal="center" vertical="top" wrapText="1"/>
    </xf>
    <xf numFmtId="0" fontId="104" fillId="0" borderId="67" xfId="0" applyFont="1" applyBorder="1" applyAlignment="1">
      <alignment horizontal="center" vertical="top" wrapText="1"/>
    </xf>
    <xf numFmtId="0" fontId="104" fillId="0" borderId="14" xfId="0" applyFont="1" applyBorder="1" applyAlignment="1">
      <alignment horizontal="center" vertical="top" wrapText="1"/>
    </xf>
    <xf numFmtId="0" fontId="104" fillId="0" borderId="81" xfId="0" applyFont="1" applyBorder="1" applyAlignment="1">
      <alignment horizontal="center" vertical="top" wrapText="1"/>
    </xf>
    <xf numFmtId="0" fontId="107" fillId="0" borderId="30" xfId="0" applyFont="1" applyBorder="1" applyAlignment="1">
      <alignment horizontal="center"/>
    </xf>
    <xf numFmtId="2" fontId="102" fillId="0" borderId="30" xfId="0" applyNumberFormat="1" applyFont="1" applyBorder="1" applyAlignment="1">
      <alignment horizontal="center"/>
    </xf>
    <xf numFmtId="2" fontId="102" fillId="0" borderId="13" xfId="0" applyNumberFormat="1" applyFont="1" applyBorder="1" applyAlignment="1">
      <alignment horizontal="center"/>
    </xf>
    <xf numFmtId="0" fontId="98" fillId="0" borderId="11" xfId="0" applyFont="1" applyBorder="1" applyAlignment="1">
      <alignment horizontal="center" vertical="top" wrapText="1"/>
    </xf>
    <xf numFmtId="0" fontId="98" fillId="0" borderId="67" xfId="0" applyFont="1" applyBorder="1" applyAlignment="1">
      <alignment horizontal="center" vertical="top" wrapText="1"/>
    </xf>
    <xf numFmtId="0" fontId="98" fillId="0" borderId="14" xfId="0" applyFont="1" applyBorder="1" applyAlignment="1">
      <alignment horizontal="center" vertical="top" wrapText="1"/>
    </xf>
    <xf numFmtId="0" fontId="98" fillId="0" borderId="81" xfId="0" applyFont="1" applyBorder="1" applyAlignment="1">
      <alignment horizontal="center" vertical="top" wrapText="1"/>
    </xf>
    <xf numFmtId="0" fontId="100" fillId="0" borderId="7" xfId="0" applyFont="1" applyBorder="1" applyAlignment="1">
      <alignment horizontal="center"/>
    </xf>
    <xf numFmtId="0" fontId="100" fillId="0" borderId="78" xfId="0" applyFont="1" applyBorder="1" applyAlignment="1">
      <alignment horizontal="center"/>
    </xf>
    <xf numFmtId="0" fontId="100" fillId="0" borderId="8" xfId="0" applyFont="1" applyBorder="1" applyAlignment="1">
      <alignment horizontal="center"/>
    </xf>
    <xf numFmtId="0" fontId="100" fillId="0" borderId="9" xfId="0" applyFont="1" applyBorder="1" applyAlignment="1">
      <alignment horizontal="center"/>
    </xf>
    <xf numFmtId="0" fontId="100" fillId="12" borderId="7" xfId="0" applyFont="1" applyFill="1" applyBorder="1" applyAlignment="1">
      <alignment horizontal="center"/>
    </xf>
    <xf numFmtId="0" fontId="100" fillId="12" borderId="8" xfId="0" applyFont="1" applyFill="1" applyBorder="1" applyAlignment="1">
      <alignment horizontal="center"/>
    </xf>
    <xf numFmtId="0" fontId="100" fillId="12" borderId="9" xfId="0" applyFont="1" applyFill="1" applyBorder="1" applyAlignment="1">
      <alignment horizontal="center"/>
    </xf>
    <xf numFmtId="0" fontId="100" fillId="0" borderId="12" xfId="0" applyFont="1" applyBorder="1" applyAlignment="1">
      <alignment horizontal="center" vertical="center" wrapText="1"/>
    </xf>
    <xf numFmtId="0" fontId="100" fillId="0" borderId="13" xfId="0" applyFont="1" applyBorder="1" applyAlignment="1">
      <alignment horizontal="center" vertical="center" wrapText="1"/>
    </xf>
    <xf numFmtId="0" fontId="100" fillId="0" borderId="14" xfId="0" applyFont="1" applyBorder="1" applyAlignment="1">
      <alignment horizontal="center" vertical="center" wrapText="1"/>
    </xf>
    <xf numFmtId="0" fontId="100" fillId="0" borderId="15" xfId="0" applyFont="1" applyBorder="1" applyAlignment="1">
      <alignment horizontal="center" vertical="center" wrapText="1"/>
    </xf>
    <xf numFmtId="0" fontId="47" fillId="13" borderId="7" xfId="0" applyFont="1" applyFill="1" applyBorder="1" applyAlignment="1">
      <alignment horizontal="center"/>
    </xf>
    <xf numFmtId="0" fontId="47" fillId="13" borderId="8" xfId="0" applyFont="1" applyFill="1" applyBorder="1" applyAlignment="1">
      <alignment horizontal="center"/>
    </xf>
    <xf numFmtId="0" fontId="47" fillId="13" borderId="9" xfId="0" applyFont="1" applyFill="1" applyBorder="1" applyAlignment="1">
      <alignment horizontal="center"/>
    </xf>
    <xf numFmtId="0" fontId="13" fillId="53" borderId="7" xfId="0" applyFont="1" applyFill="1" applyBorder="1" applyAlignment="1">
      <alignment horizontal="center"/>
    </xf>
    <xf numFmtId="0" fontId="13" fillId="53" borderId="8" xfId="0" applyFont="1" applyFill="1" applyBorder="1" applyAlignment="1">
      <alignment horizontal="center"/>
    </xf>
    <xf numFmtId="0" fontId="13" fillId="53" borderId="9" xfId="0" applyFont="1" applyFill="1" applyBorder="1" applyAlignment="1">
      <alignment horizontal="center"/>
    </xf>
    <xf numFmtId="0" fontId="47" fillId="0" borderId="62" xfId="0" applyFont="1" applyBorder="1" applyAlignment="1">
      <alignment horizontal="right"/>
    </xf>
    <xf numFmtId="0" fontId="47" fillId="0" borderId="63" xfId="0" applyFont="1" applyBorder="1" applyAlignment="1">
      <alignment horizontal="right"/>
    </xf>
    <xf numFmtId="0" fontId="47" fillId="13" borderId="12" xfId="0" applyFont="1" applyFill="1" applyBorder="1" applyAlignment="1">
      <alignment horizontal="center"/>
    </xf>
    <xf numFmtId="0" fontId="47" fillId="13" borderId="30" xfId="0" applyFont="1" applyFill="1" applyBorder="1" applyAlignment="1">
      <alignment horizontal="center"/>
    </xf>
    <xf numFmtId="0" fontId="47" fillId="13" borderId="13" xfId="0" applyFont="1" applyFill="1" applyBorder="1" applyAlignment="1">
      <alignment horizontal="center"/>
    </xf>
    <xf numFmtId="0" fontId="100" fillId="13" borderId="7" xfId="0" applyFont="1" applyFill="1" applyBorder="1" applyAlignment="1">
      <alignment horizontal="center"/>
    </xf>
    <xf numFmtId="0" fontId="100" fillId="13" borderId="8" xfId="0" applyFont="1" applyFill="1" applyBorder="1" applyAlignment="1">
      <alignment horizontal="center"/>
    </xf>
    <xf numFmtId="0" fontId="100" fillId="13" borderId="9" xfId="0" applyFont="1" applyFill="1" applyBorder="1" applyAlignment="1">
      <alignment horizontal="center"/>
    </xf>
    <xf numFmtId="44" fontId="0" fillId="0" borderId="8" xfId="2" applyFont="1" applyBorder="1" applyAlignment="1">
      <alignment horizontal="center"/>
    </xf>
    <xf numFmtId="44" fontId="0" fillId="0" borderId="9" xfId="2" applyFont="1" applyBorder="1" applyAlignment="1">
      <alignment horizontal="center"/>
    </xf>
    <xf numFmtId="0" fontId="47" fillId="0" borderId="7" xfId="0" applyFont="1" applyBorder="1" applyAlignment="1">
      <alignment horizontal="center"/>
    </xf>
    <xf numFmtId="0" fontId="47" fillId="0" borderId="8" xfId="0" applyFont="1" applyBorder="1" applyAlignment="1">
      <alignment horizontal="center"/>
    </xf>
    <xf numFmtId="0" fontId="47" fillId="0" borderId="9" xfId="0" applyFont="1" applyBorder="1" applyAlignment="1">
      <alignment horizontal="center"/>
    </xf>
    <xf numFmtId="0" fontId="47" fillId="12" borderId="7" xfId="0" applyFont="1" applyFill="1" applyBorder="1" applyAlignment="1">
      <alignment horizontal="center"/>
    </xf>
    <xf numFmtId="0" fontId="47" fillId="12" borderId="8" xfId="0" applyFont="1" applyFill="1" applyBorder="1" applyAlignment="1">
      <alignment horizontal="center"/>
    </xf>
    <xf numFmtId="0" fontId="47" fillId="12" borderId="9" xfId="0" applyFont="1" applyFill="1" applyBorder="1" applyAlignment="1">
      <alignment horizontal="center"/>
    </xf>
    <xf numFmtId="0" fontId="47" fillId="0" borderId="12" xfId="0" applyFont="1" applyBorder="1" applyAlignment="1">
      <alignment horizontal="center" vertical="center" wrapText="1"/>
    </xf>
    <xf numFmtId="0" fontId="47" fillId="0" borderId="13" xfId="0" applyFont="1" applyBorder="1" applyAlignment="1">
      <alignment horizontal="center" vertical="center" wrapText="1"/>
    </xf>
    <xf numFmtId="0" fontId="47" fillId="0" borderId="14" xfId="0" applyFont="1" applyBorder="1" applyAlignment="1">
      <alignment horizontal="center" vertical="center" wrapText="1"/>
    </xf>
    <xf numFmtId="0" fontId="47" fillId="0" borderId="15" xfId="0" applyFont="1" applyBorder="1"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vertical="center" wrapText="1"/>
    </xf>
  </cellXfs>
  <cellStyles count="1318">
    <cellStyle name="20% - Accent1 2" xfId="4" xr:uid="{00000000-0005-0000-0000-000000000000}"/>
    <cellStyle name="20% - Accent2 2" xfId="5" xr:uid="{00000000-0005-0000-0000-000001000000}"/>
    <cellStyle name="20% - Accent3 2" xfId="6" xr:uid="{00000000-0005-0000-0000-000002000000}"/>
    <cellStyle name="20% - Accent4 2" xfId="7" xr:uid="{00000000-0005-0000-0000-000003000000}"/>
    <cellStyle name="20% - Accent5 2" xfId="8" xr:uid="{00000000-0005-0000-0000-000004000000}"/>
    <cellStyle name="20% - Accent6 2" xfId="9" xr:uid="{00000000-0005-0000-0000-000005000000}"/>
    <cellStyle name="40% - Accent1 2" xfId="10" xr:uid="{00000000-0005-0000-0000-000006000000}"/>
    <cellStyle name="40% - Accent2 2" xfId="11" xr:uid="{00000000-0005-0000-0000-000007000000}"/>
    <cellStyle name="40% - Accent3 2" xfId="12" xr:uid="{00000000-0005-0000-0000-000008000000}"/>
    <cellStyle name="40% - Accent4 2" xfId="13" xr:uid="{00000000-0005-0000-0000-000009000000}"/>
    <cellStyle name="40% - Accent5 2" xfId="14" xr:uid="{00000000-0005-0000-0000-00000A000000}"/>
    <cellStyle name="40% - Accent6 2" xfId="15" xr:uid="{00000000-0005-0000-0000-00000B000000}"/>
    <cellStyle name="60% - Accent1 2" xfId="16" xr:uid="{00000000-0005-0000-0000-00000C000000}"/>
    <cellStyle name="60% - Accent1 3" xfId="17" xr:uid="{00000000-0005-0000-0000-00000D000000}"/>
    <cellStyle name="60% - Accent2 2" xfId="18" xr:uid="{00000000-0005-0000-0000-00000E000000}"/>
    <cellStyle name="60% - Accent2 3" xfId="19" xr:uid="{00000000-0005-0000-0000-00000F000000}"/>
    <cellStyle name="60% - Accent3 2" xfId="20" xr:uid="{00000000-0005-0000-0000-000010000000}"/>
    <cellStyle name="60% - Accent3 3" xfId="21" xr:uid="{00000000-0005-0000-0000-000011000000}"/>
    <cellStyle name="60% - Accent4 2" xfId="22" xr:uid="{00000000-0005-0000-0000-000012000000}"/>
    <cellStyle name="60% - Accent4 3" xfId="23" xr:uid="{00000000-0005-0000-0000-000013000000}"/>
    <cellStyle name="60% - Accent5 2" xfId="24" xr:uid="{00000000-0005-0000-0000-000014000000}"/>
    <cellStyle name="60% - Accent5 3" xfId="25" xr:uid="{00000000-0005-0000-0000-000015000000}"/>
    <cellStyle name="60% - Accent6 2" xfId="26" xr:uid="{00000000-0005-0000-0000-000016000000}"/>
    <cellStyle name="60% - Accent6 3" xfId="27" xr:uid="{00000000-0005-0000-0000-000017000000}"/>
    <cellStyle name="Accent1 2" xfId="28" xr:uid="{00000000-0005-0000-0000-000018000000}"/>
    <cellStyle name="Accent2 2" xfId="29" xr:uid="{00000000-0005-0000-0000-000019000000}"/>
    <cellStyle name="Accent3 2" xfId="30" xr:uid="{00000000-0005-0000-0000-00001A000000}"/>
    <cellStyle name="Accent4 2" xfId="31" xr:uid="{00000000-0005-0000-0000-00001B000000}"/>
    <cellStyle name="Accent5 2" xfId="32" xr:uid="{00000000-0005-0000-0000-00001C000000}"/>
    <cellStyle name="Accent6 2" xfId="33" xr:uid="{00000000-0005-0000-0000-00001D000000}"/>
    <cellStyle name="Bad 2" xfId="34" xr:uid="{00000000-0005-0000-0000-00001E000000}"/>
    <cellStyle name="Bad 3" xfId="35" xr:uid="{00000000-0005-0000-0000-00001F000000}"/>
    <cellStyle name="Body: normal cell" xfId="36" xr:uid="{00000000-0005-0000-0000-000020000000}"/>
    <cellStyle name="Calculation 2" xfId="37" xr:uid="{00000000-0005-0000-0000-000021000000}"/>
    <cellStyle name="Calculation 2 2" xfId="38" xr:uid="{00000000-0005-0000-0000-000022000000}"/>
    <cellStyle name="Calculation 2 2 2" xfId="1248" xr:uid="{00000000-0005-0000-0000-000023000000}"/>
    <cellStyle name="Calculation 2 3" xfId="39" xr:uid="{00000000-0005-0000-0000-000024000000}"/>
    <cellStyle name="Calculation 3" xfId="40" xr:uid="{00000000-0005-0000-0000-000025000000}"/>
    <cellStyle name="Check Cell 2" xfId="41" xr:uid="{00000000-0005-0000-0000-000026000000}"/>
    <cellStyle name="Comma" xfId="1" builtinId="3"/>
    <cellStyle name="Comma [0] 2" xfId="42" xr:uid="{00000000-0005-0000-0000-000028000000}"/>
    <cellStyle name="Comma 10" xfId="43" xr:uid="{00000000-0005-0000-0000-000029000000}"/>
    <cellStyle name="Comma 10 2" xfId="44" xr:uid="{00000000-0005-0000-0000-00002A000000}"/>
    <cellStyle name="Comma 10 2 2" xfId="45" xr:uid="{00000000-0005-0000-0000-00002B000000}"/>
    <cellStyle name="Comma 10 3" xfId="46" xr:uid="{00000000-0005-0000-0000-00002C000000}"/>
    <cellStyle name="Comma 11" xfId="47" xr:uid="{00000000-0005-0000-0000-00002D000000}"/>
    <cellStyle name="Comma 11 2" xfId="48" xr:uid="{00000000-0005-0000-0000-00002E000000}"/>
    <cellStyle name="Comma 12" xfId="1249" xr:uid="{00000000-0005-0000-0000-00002F000000}"/>
    <cellStyle name="Comma 13" xfId="1250" xr:uid="{00000000-0005-0000-0000-000030000000}"/>
    <cellStyle name="Comma 14" xfId="1251" xr:uid="{00000000-0005-0000-0000-000031000000}"/>
    <cellStyle name="Comma 2" xfId="49" xr:uid="{00000000-0005-0000-0000-000032000000}"/>
    <cellStyle name="Comma 2 2" xfId="50" xr:uid="{00000000-0005-0000-0000-000033000000}"/>
    <cellStyle name="Comma 2 2 2" xfId="51" xr:uid="{00000000-0005-0000-0000-000034000000}"/>
    <cellStyle name="Comma 2 2 2 2" xfId="1252" xr:uid="{00000000-0005-0000-0000-000035000000}"/>
    <cellStyle name="Comma 2 3" xfId="52" xr:uid="{00000000-0005-0000-0000-000036000000}"/>
    <cellStyle name="Comma 2 3 2" xfId="53" xr:uid="{00000000-0005-0000-0000-000037000000}"/>
    <cellStyle name="Comma 3" xfId="54" xr:uid="{00000000-0005-0000-0000-000038000000}"/>
    <cellStyle name="Comma 3 2" xfId="55" xr:uid="{00000000-0005-0000-0000-000039000000}"/>
    <cellStyle name="Comma 3 2 2" xfId="56" xr:uid="{00000000-0005-0000-0000-00003A000000}"/>
    <cellStyle name="Comma 3 2 2 2" xfId="57" xr:uid="{00000000-0005-0000-0000-00003B000000}"/>
    <cellStyle name="Comma 3 2 2 2 2" xfId="58" xr:uid="{00000000-0005-0000-0000-00003C000000}"/>
    <cellStyle name="Comma 3 2 2 2 2 2" xfId="59" xr:uid="{00000000-0005-0000-0000-00003D000000}"/>
    <cellStyle name="Comma 3 2 2 2 3" xfId="60" xr:uid="{00000000-0005-0000-0000-00003E000000}"/>
    <cellStyle name="Comma 3 2 2 3" xfId="61" xr:uid="{00000000-0005-0000-0000-00003F000000}"/>
    <cellStyle name="Comma 3 2 2 3 2" xfId="62" xr:uid="{00000000-0005-0000-0000-000040000000}"/>
    <cellStyle name="Comma 3 2 2 4" xfId="63" xr:uid="{00000000-0005-0000-0000-000041000000}"/>
    <cellStyle name="Comma 3 2 3" xfId="64" xr:uid="{00000000-0005-0000-0000-000042000000}"/>
    <cellStyle name="Comma 3 2 4" xfId="65" xr:uid="{00000000-0005-0000-0000-000043000000}"/>
    <cellStyle name="Comma 3 2 4 2" xfId="66" xr:uid="{00000000-0005-0000-0000-000044000000}"/>
    <cellStyle name="Comma 3 2 4 2 2" xfId="67" xr:uid="{00000000-0005-0000-0000-000045000000}"/>
    <cellStyle name="Comma 3 2 4 3" xfId="68" xr:uid="{00000000-0005-0000-0000-000046000000}"/>
    <cellStyle name="Comma 3 2 5" xfId="69" xr:uid="{00000000-0005-0000-0000-000047000000}"/>
    <cellStyle name="Comma 3 2 5 2" xfId="70" xr:uid="{00000000-0005-0000-0000-000048000000}"/>
    <cellStyle name="Comma 3 2 6" xfId="71" xr:uid="{00000000-0005-0000-0000-000049000000}"/>
    <cellStyle name="Comma 3 3" xfId="72" xr:uid="{00000000-0005-0000-0000-00004A000000}"/>
    <cellStyle name="Comma 3 3 2" xfId="73" xr:uid="{00000000-0005-0000-0000-00004B000000}"/>
    <cellStyle name="Comma 3 3 2 2" xfId="74" xr:uid="{00000000-0005-0000-0000-00004C000000}"/>
    <cellStyle name="Comma 3 3 2 2 2" xfId="75" xr:uid="{00000000-0005-0000-0000-00004D000000}"/>
    <cellStyle name="Comma 3 3 2 3" xfId="76" xr:uid="{00000000-0005-0000-0000-00004E000000}"/>
    <cellStyle name="Comma 3 3 3" xfId="77" xr:uid="{00000000-0005-0000-0000-00004F000000}"/>
    <cellStyle name="Comma 3 3 3 2" xfId="78" xr:uid="{00000000-0005-0000-0000-000050000000}"/>
    <cellStyle name="Comma 3 3 4" xfId="79" xr:uid="{00000000-0005-0000-0000-000051000000}"/>
    <cellStyle name="Comma 3 4" xfId="80" xr:uid="{00000000-0005-0000-0000-000052000000}"/>
    <cellStyle name="Comma 3 4 2" xfId="81" xr:uid="{00000000-0005-0000-0000-000053000000}"/>
    <cellStyle name="Comma 3 4 2 2" xfId="82" xr:uid="{00000000-0005-0000-0000-000054000000}"/>
    <cellStyle name="Comma 3 4 2 2 2" xfId="83" xr:uid="{00000000-0005-0000-0000-000055000000}"/>
    <cellStyle name="Comma 3 4 2 3" xfId="84" xr:uid="{00000000-0005-0000-0000-000056000000}"/>
    <cellStyle name="Comma 3 4 3" xfId="85" xr:uid="{00000000-0005-0000-0000-000057000000}"/>
    <cellStyle name="Comma 3 4 3 2" xfId="86" xr:uid="{00000000-0005-0000-0000-000058000000}"/>
    <cellStyle name="Comma 3 4 4" xfId="87" xr:uid="{00000000-0005-0000-0000-000059000000}"/>
    <cellStyle name="Comma 3 5" xfId="88" xr:uid="{00000000-0005-0000-0000-00005A000000}"/>
    <cellStyle name="Comma 3 5 2" xfId="89" xr:uid="{00000000-0005-0000-0000-00005B000000}"/>
    <cellStyle name="Comma 3 5 2 2" xfId="90" xr:uid="{00000000-0005-0000-0000-00005C000000}"/>
    <cellStyle name="Comma 3 5 2 2 2" xfId="91" xr:uid="{00000000-0005-0000-0000-00005D000000}"/>
    <cellStyle name="Comma 3 5 2 3" xfId="92" xr:uid="{00000000-0005-0000-0000-00005E000000}"/>
    <cellStyle name="Comma 3 5 3" xfId="93" xr:uid="{00000000-0005-0000-0000-00005F000000}"/>
    <cellStyle name="Comma 3 5 3 2" xfId="94" xr:uid="{00000000-0005-0000-0000-000060000000}"/>
    <cellStyle name="Comma 3 5 4" xfId="95" xr:uid="{00000000-0005-0000-0000-000061000000}"/>
    <cellStyle name="Comma 4" xfId="96" xr:uid="{00000000-0005-0000-0000-000062000000}"/>
    <cellStyle name="Comma 4 2" xfId="97" xr:uid="{00000000-0005-0000-0000-000063000000}"/>
    <cellStyle name="Comma 5" xfId="98" xr:uid="{00000000-0005-0000-0000-000064000000}"/>
    <cellStyle name="Comma 5 2" xfId="99" xr:uid="{00000000-0005-0000-0000-000065000000}"/>
    <cellStyle name="Comma 5 3" xfId="100" xr:uid="{00000000-0005-0000-0000-000066000000}"/>
    <cellStyle name="Comma 6" xfId="101" xr:uid="{00000000-0005-0000-0000-000067000000}"/>
    <cellStyle name="Comma 6 2" xfId="102" xr:uid="{00000000-0005-0000-0000-000068000000}"/>
    <cellStyle name="Comma 6 3" xfId="103" xr:uid="{00000000-0005-0000-0000-000069000000}"/>
    <cellStyle name="Comma 6 3 2" xfId="104" xr:uid="{00000000-0005-0000-0000-00006A000000}"/>
    <cellStyle name="Comma 6 3 2 2" xfId="105" xr:uid="{00000000-0005-0000-0000-00006B000000}"/>
    <cellStyle name="Comma 6 3 2 2 2" xfId="106" xr:uid="{00000000-0005-0000-0000-00006C000000}"/>
    <cellStyle name="Comma 6 3 2 3" xfId="107" xr:uid="{00000000-0005-0000-0000-00006D000000}"/>
    <cellStyle name="Comma 6 3 3" xfId="108" xr:uid="{00000000-0005-0000-0000-00006E000000}"/>
    <cellStyle name="Comma 6 3 3 2" xfId="109" xr:uid="{00000000-0005-0000-0000-00006F000000}"/>
    <cellStyle name="Comma 6 3 4" xfId="110" xr:uid="{00000000-0005-0000-0000-000070000000}"/>
    <cellStyle name="Comma 7" xfId="111" xr:uid="{00000000-0005-0000-0000-000071000000}"/>
    <cellStyle name="Comma 7 2" xfId="112" xr:uid="{00000000-0005-0000-0000-000072000000}"/>
    <cellStyle name="Comma 7 3" xfId="113" xr:uid="{00000000-0005-0000-0000-000073000000}"/>
    <cellStyle name="Comma 7 3 2" xfId="114" xr:uid="{00000000-0005-0000-0000-000074000000}"/>
    <cellStyle name="Comma 7 3 2 2" xfId="115" xr:uid="{00000000-0005-0000-0000-000075000000}"/>
    <cellStyle name="Comma 7 3 3" xfId="116" xr:uid="{00000000-0005-0000-0000-000076000000}"/>
    <cellStyle name="Comma 7 4" xfId="117" xr:uid="{00000000-0005-0000-0000-000077000000}"/>
    <cellStyle name="Comma 7 4 2" xfId="118" xr:uid="{00000000-0005-0000-0000-000078000000}"/>
    <cellStyle name="Comma 7 5" xfId="119" xr:uid="{00000000-0005-0000-0000-000079000000}"/>
    <cellStyle name="Comma 8" xfId="120" xr:uid="{00000000-0005-0000-0000-00007A000000}"/>
    <cellStyle name="Comma 8 2" xfId="121" xr:uid="{00000000-0005-0000-0000-00007B000000}"/>
    <cellStyle name="Comma 8 2 2" xfId="122" xr:uid="{00000000-0005-0000-0000-00007C000000}"/>
    <cellStyle name="Comma 8 2 2 2" xfId="123" xr:uid="{00000000-0005-0000-0000-00007D000000}"/>
    <cellStyle name="Comma 8 2 3" xfId="124" xr:uid="{00000000-0005-0000-0000-00007E000000}"/>
    <cellStyle name="Comma 8 3" xfId="125" xr:uid="{00000000-0005-0000-0000-00007F000000}"/>
    <cellStyle name="Comma 8 3 2" xfId="126" xr:uid="{00000000-0005-0000-0000-000080000000}"/>
    <cellStyle name="Comma 8 4" xfId="127" xr:uid="{00000000-0005-0000-0000-000081000000}"/>
    <cellStyle name="Comma 9" xfId="128" xr:uid="{00000000-0005-0000-0000-000082000000}"/>
    <cellStyle name="Comma 9 2" xfId="129" xr:uid="{00000000-0005-0000-0000-000083000000}"/>
    <cellStyle name="Comma 9 2 2" xfId="130" xr:uid="{00000000-0005-0000-0000-000084000000}"/>
    <cellStyle name="Comma 9 2 2 2" xfId="131" xr:uid="{00000000-0005-0000-0000-000085000000}"/>
    <cellStyle name="Comma 9 2 3" xfId="132" xr:uid="{00000000-0005-0000-0000-000086000000}"/>
    <cellStyle name="Comma 9 3" xfId="133" xr:uid="{00000000-0005-0000-0000-000087000000}"/>
    <cellStyle name="Comma 9 3 2" xfId="134" xr:uid="{00000000-0005-0000-0000-000088000000}"/>
    <cellStyle name="Comma 9 4" xfId="135" xr:uid="{00000000-0005-0000-0000-000089000000}"/>
    <cellStyle name="Currency" xfId="2" builtinId="4"/>
    <cellStyle name="Currency [0] 2" xfId="136" xr:uid="{00000000-0005-0000-0000-00008B000000}"/>
    <cellStyle name="Currency 10" xfId="137" xr:uid="{00000000-0005-0000-0000-00008C000000}"/>
    <cellStyle name="Currency 10 2" xfId="138" xr:uid="{00000000-0005-0000-0000-00008D000000}"/>
    <cellStyle name="Currency 10 2 2" xfId="139" xr:uid="{00000000-0005-0000-0000-00008E000000}"/>
    <cellStyle name="Currency 10 3" xfId="140" xr:uid="{00000000-0005-0000-0000-00008F000000}"/>
    <cellStyle name="Currency 11" xfId="141" xr:uid="{00000000-0005-0000-0000-000090000000}"/>
    <cellStyle name="Currency 11 2" xfId="142" xr:uid="{00000000-0005-0000-0000-000091000000}"/>
    <cellStyle name="Currency 11 2 2" xfId="143" xr:uid="{00000000-0005-0000-0000-000092000000}"/>
    <cellStyle name="Currency 11 3" xfId="144" xr:uid="{00000000-0005-0000-0000-000093000000}"/>
    <cellStyle name="Currency 12" xfId="145" xr:uid="{00000000-0005-0000-0000-000094000000}"/>
    <cellStyle name="Currency 12 2" xfId="146" xr:uid="{00000000-0005-0000-0000-000095000000}"/>
    <cellStyle name="Currency 13" xfId="147" xr:uid="{00000000-0005-0000-0000-000096000000}"/>
    <cellStyle name="Currency 14" xfId="148" xr:uid="{00000000-0005-0000-0000-000097000000}"/>
    <cellStyle name="Currency 15" xfId="149" xr:uid="{00000000-0005-0000-0000-000098000000}"/>
    <cellStyle name="Currency 16" xfId="150" xr:uid="{00000000-0005-0000-0000-000099000000}"/>
    <cellStyle name="Currency 17" xfId="151" xr:uid="{00000000-0005-0000-0000-00009A000000}"/>
    <cellStyle name="Currency 18" xfId="152" xr:uid="{00000000-0005-0000-0000-00009B000000}"/>
    <cellStyle name="Currency 19" xfId="153" xr:uid="{00000000-0005-0000-0000-00009C000000}"/>
    <cellStyle name="Currency 2" xfId="154" xr:uid="{00000000-0005-0000-0000-00009D000000}"/>
    <cellStyle name="Currency 2 2" xfId="155" xr:uid="{00000000-0005-0000-0000-00009E000000}"/>
    <cellStyle name="Currency 2 2 2" xfId="156" xr:uid="{00000000-0005-0000-0000-00009F000000}"/>
    <cellStyle name="Currency 2 2 2 2" xfId="157" xr:uid="{00000000-0005-0000-0000-0000A0000000}"/>
    <cellStyle name="Currency 2 2 2 3" xfId="158" xr:uid="{00000000-0005-0000-0000-0000A1000000}"/>
    <cellStyle name="Currency 2 2 2 4" xfId="1253" xr:uid="{00000000-0005-0000-0000-0000A2000000}"/>
    <cellStyle name="Currency 2 2 2 5" xfId="1254" xr:uid="{00000000-0005-0000-0000-0000A3000000}"/>
    <cellStyle name="Currency 2 3" xfId="159" xr:uid="{00000000-0005-0000-0000-0000A4000000}"/>
    <cellStyle name="Currency 2 3 2" xfId="160" xr:uid="{00000000-0005-0000-0000-0000A5000000}"/>
    <cellStyle name="Currency 2 3 2 2" xfId="161" xr:uid="{00000000-0005-0000-0000-0000A6000000}"/>
    <cellStyle name="Currency 2 3 2 2 2" xfId="162" xr:uid="{00000000-0005-0000-0000-0000A7000000}"/>
    <cellStyle name="Currency 2 3 2 2 2 2" xfId="163" xr:uid="{00000000-0005-0000-0000-0000A8000000}"/>
    <cellStyle name="Currency 2 3 2 2 3" xfId="164" xr:uid="{00000000-0005-0000-0000-0000A9000000}"/>
    <cellStyle name="Currency 2 3 2 3" xfId="165" xr:uid="{00000000-0005-0000-0000-0000AA000000}"/>
    <cellStyle name="Currency 2 3 2 3 2" xfId="166" xr:uid="{00000000-0005-0000-0000-0000AB000000}"/>
    <cellStyle name="Currency 2 3 2 4" xfId="167" xr:uid="{00000000-0005-0000-0000-0000AC000000}"/>
    <cellStyle name="Currency 2 3 3" xfId="168" xr:uid="{00000000-0005-0000-0000-0000AD000000}"/>
    <cellStyle name="Currency 2 3 4" xfId="169" xr:uid="{00000000-0005-0000-0000-0000AE000000}"/>
    <cellStyle name="Currency 2 3 4 2" xfId="170" xr:uid="{00000000-0005-0000-0000-0000AF000000}"/>
    <cellStyle name="Currency 2 3 4 2 2" xfId="171" xr:uid="{00000000-0005-0000-0000-0000B0000000}"/>
    <cellStyle name="Currency 2 3 4 3" xfId="172" xr:uid="{00000000-0005-0000-0000-0000B1000000}"/>
    <cellStyle name="Currency 2 3 5" xfId="173" xr:uid="{00000000-0005-0000-0000-0000B2000000}"/>
    <cellStyle name="Currency 2 3 5 2" xfId="174" xr:uid="{00000000-0005-0000-0000-0000B3000000}"/>
    <cellStyle name="Currency 2 3 6" xfId="175" xr:uid="{00000000-0005-0000-0000-0000B4000000}"/>
    <cellStyle name="Currency 2 4" xfId="176" xr:uid="{00000000-0005-0000-0000-0000B5000000}"/>
    <cellStyle name="Currency 2 4 2" xfId="177" xr:uid="{00000000-0005-0000-0000-0000B6000000}"/>
    <cellStyle name="Currency 2 4 2 2" xfId="178" xr:uid="{00000000-0005-0000-0000-0000B7000000}"/>
    <cellStyle name="Currency 2 4 2 2 2" xfId="179" xr:uid="{00000000-0005-0000-0000-0000B8000000}"/>
    <cellStyle name="Currency 2 4 2 3" xfId="180" xr:uid="{00000000-0005-0000-0000-0000B9000000}"/>
    <cellStyle name="Currency 2 4 2 4" xfId="181" xr:uid="{00000000-0005-0000-0000-0000BA000000}"/>
    <cellStyle name="Currency 2 4 2 5" xfId="182" xr:uid="{00000000-0005-0000-0000-0000BB000000}"/>
    <cellStyle name="Currency 2 4 3" xfId="183" xr:uid="{00000000-0005-0000-0000-0000BC000000}"/>
    <cellStyle name="Currency 2 4 3 2" xfId="184" xr:uid="{00000000-0005-0000-0000-0000BD000000}"/>
    <cellStyle name="Currency 2 4 4" xfId="185" xr:uid="{00000000-0005-0000-0000-0000BE000000}"/>
    <cellStyle name="Currency 2 4 5" xfId="186" xr:uid="{00000000-0005-0000-0000-0000BF000000}"/>
    <cellStyle name="Currency 2 5" xfId="187" xr:uid="{00000000-0005-0000-0000-0000C0000000}"/>
    <cellStyle name="Currency 2 5 2" xfId="188" xr:uid="{00000000-0005-0000-0000-0000C1000000}"/>
    <cellStyle name="Currency 2 5 2 2" xfId="189" xr:uid="{00000000-0005-0000-0000-0000C2000000}"/>
    <cellStyle name="Currency 2 5 2 2 2" xfId="190" xr:uid="{00000000-0005-0000-0000-0000C3000000}"/>
    <cellStyle name="Currency 2 5 2 3" xfId="191" xr:uid="{00000000-0005-0000-0000-0000C4000000}"/>
    <cellStyle name="Currency 2 5 3" xfId="192" xr:uid="{00000000-0005-0000-0000-0000C5000000}"/>
    <cellStyle name="Currency 2 5 3 2" xfId="193" xr:uid="{00000000-0005-0000-0000-0000C6000000}"/>
    <cellStyle name="Currency 2 5 4" xfId="194" xr:uid="{00000000-0005-0000-0000-0000C7000000}"/>
    <cellStyle name="Currency 2 6" xfId="195" xr:uid="{00000000-0005-0000-0000-0000C8000000}"/>
    <cellStyle name="Currency 2 6 2" xfId="196" xr:uid="{00000000-0005-0000-0000-0000C9000000}"/>
    <cellStyle name="Currency 2 6 2 2" xfId="197" xr:uid="{00000000-0005-0000-0000-0000CA000000}"/>
    <cellStyle name="Currency 2 6 2 2 2" xfId="198" xr:uid="{00000000-0005-0000-0000-0000CB000000}"/>
    <cellStyle name="Currency 2 6 2 3" xfId="199" xr:uid="{00000000-0005-0000-0000-0000CC000000}"/>
    <cellStyle name="Currency 2 6 3" xfId="200" xr:uid="{00000000-0005-0000-0000-0000CD000000}"/>
    <cellStyle name="Currency 2 6 3 2" xfId="201" xr:uid="{00000000-0005-0000-0000-0000CE000000}"/>
    <cellStyle name="Currency 2 6 4" xfId="202" xr:uid="{00000000-0005-0000-0000-0000CF000000}"/>
    <cellStyle name="Currency 20" xfId="203" xr:uid="{00000000-0005-0000-0000-0000D0000000}"/>
    <cellStyle name="Currency 21" xfId="204" xr:uid="{00000000-0005-0000-0000-0000D1000000}"/>
    <cellStyle name="Currency 22" xfId="205" xr:uid="{00000000-0005-0000-0000-0000D2000000}"/>
    <cellStyle name="Currency 23" xfId="206" xr:uid="{00000000-0005-0000-0000-0000D3000000}"/>
    <cellStyle name="Currency 24" xfId="207" xr:uid="{00000000-0005-0000-0000-0000D4000000}"/>
    <cellStyle name="Currency 25" xfId="208" xr:uid="{00000000-0005-0000-0000-0000D5000000}"/>
    <cellStyle name="Currency 26" xfId="209" xr:uid="{00000000-0005-0000-0000-0000D6000000}"/>
    <cellStyle name="Currency 27" xfId="210" xr:uid="{00000000-0005-0000-0000-0000D7000000}"/>
    <cellStyle name="Currency 28" xfId="211" xr:uid="{00000000-0005-0000-0000-0000D8000000}"/>
    <cellStyle name="Currency 29" xfId="212" xr:uid="{00000000-0005-0000-0000-0000D9000000}"/>
    <cellStyle name="Currency 3" xfId="213" xr:uid="{00000000-0005-0000-0000-0000DA000000}"/>
    <cellStyle name="Currency 3 2" xfId="214" xr:uid="{00000000-0005-0000-0000-0000DB000000}"/>
    <cellStyle name="Currency 3 2 2" xfId="215" xr:uid="{00000000-0005-0000-0000-0000DC000000}"/>
    <cellStyle name="Currency 3 2 2 2" xfId="216" xr:uid="{00000000-0005-0000-0000-0000DD000000}"/>
    <cellStyle name="Currency 3 2 2 2 2" xfId="217" xr:uid="{00000000-0005-0000-0000-0000DE000000}"/>
    <cellStyle name="Currency 3 2 2 2 2 2" xfId="218" xr:uid="{00000000-0005-0000-0000-0000DF000000}"/>
    <cellStyle name="Currency 3 2 2 2 3" xfId="219" xr:uid="{00000000-0005-0000-0000-0000E0000000}"/>
    <cellStyle name="Currency 3 2 2 3" xfId="220" xr:uid="{00000000-0005-0000-0000-0000E1000000}"/>
    <cellStyle name="Currency 3 2 2 3 2" xfId="221" xr:uid="{00000000-0005-0000-0000-0000E2000000}"/>
    <cellStyle name="Currency 3 2 2 4" xfId="222" xr:uid="{00000000-0005-0000-0000-0000E3000000}"/>
    <cellStyle name="Currency 3 2 3" xfId="223" xr:uid="{00000000-0005-0000-0000-0000E4000000}"/>
    <cellStyle name="Currency 3 2 4" xfId="224" xr:uid="{00000000-0005-0000-0000-0000E5000000}"/>
    <cellStyle name="Currency 3 2 4 2" xfId="225" xr:uid="{00000000-0005-0000-0000-0000E6000000}"/>
    <cellStyle name="Currency 3 2 4 2 2" xfId="226" xr:uid="{00000000-0005-0000-0000-0000E7000000}"/>
    <cellStyle name="Currency 3 2 4 3" xfId="227" xr:uid="{00000000-0005-0000-0000-0000E8000000}"/>
    <cellStyle name="Currency 3 2 5" xfId="228" xr:uid="{00000000-0005-0000-0000-0000E9000000}"/>
    <cellStyle name="Currency 3 2 5 2" xfId="229" xr:uid="{00000000-0005-0000-0000-0000EA000000}"/>
    <cellStyle name="Currency 3 2 6" xfId="230" xr:uid="{00000000-0005-0000-0000-0000EB000000}"/>
    <cellStyle name="Currency 3 3" xfId="231" xr:uid="{00000000-0005-0000-0000-0000EC000000}"/>
    <cellStyle name="Currency 3 3 2" xfId="232" xr:uid="{00000000-0005-0000-0000-0000ED000000}"/>
    <cellStyle name="Currency 3 3 2 2" xfId="233" xr:uid="{00000000-0005-0000-0000-0000EE000000}"/>
    <cellStyle name="Currency 3 3 2 2 2" xfId="234" xr:uid="{00000000-0005-0000-0000-0000EF000000}"/>
    <cellStyle name="Currency 3 3 2 3" xfId="235" xr:uid="{00000000-0005-0000-0000-0000F0000000}"/>
    <cellStyle name="Currency 3 3 3" xfId="236" xr:uid="{00000000-0005-0000-0000-0000F1000000}"/>
    <cellStyle name="Currency 3 3 3 2" xfId="237" xr:uid="{00000000-0005-0000-0000-0000F2000000}"/>
    <cellStyle name="Currency 3 3 4" xfId="238" xr:uid="{00000000-0005-0000-0000-0000F3000000}"/>
    <cellStyle name="Currency 3 4" xfId="239" xr:uid="{00000000-0005-0000-0000-0000F4000000}"/>
    <cellStyle name="Currency 3 4 2" xfId="240" xr:uid="{00000000-0005-0000-0000-0000F5000000}"/>
    <cellStyle name="Currency 3 4 2 2" xfId="241" xr:uid="{00000000-0005-0000-0000-0000F6000000}"/>
    <cellStyle name="Currency 3 4 2 2 2" xfId="242" xr:uid="{00000000-0005-0000-0000-0000F7000000}"/>
    <cellStyle name="Currency 3 4 2 3" xfId="243" xr:uid="{00000000-0005-0000-0000-0000F8000000}"/>
    <cellStyle name="Currency 3 4 3" xfId="244" xr:uid="{00000000-0005-0000-0000-0000F9000000}"/>
    <cellStyle name="Currency 3 4 3 2" xfId="245" xr:uid="{00000000-0005-0000-0000-0000FA000000}"/>
    <cellStyle name="Currency 3 4 4" xfId="246" xr:uid="{00000000-0005-0000-0000-0000FB000000}"/>
    <cellStyle name="Currency 3 5" xfId="247" xr:uid="{00000000-0005-0000-0000-0000FC000000}"/>
    <cellStyle name="Currency 3 5 2" xfId="248" xr:uid="{00000000-0005-0000-0000-0000FD000000}"/>
    <cellStyle name="Currency 3 5 2 2" xfId="249" xr:uid="{00000000-0005-0000-0000-0000FE000000}"/>
    <cellStyle name="Currency 3 5 2 2 2" xfId="250" xr:uid="{00000000-0005-0000-0000-0000FF000000}"/>
    <cellStyle name="Currency 3 5 2 3" xfId="251" xr:uid="{00000000-0005-0000-0000-000000010000}"/>
    <cellStyle name="Currency 3 5 3" xfId="252" xr:uid="{00000000-0005-0000-0000-000001010000}"/>
    <cellStyle name="Currency 3 5 3 2" xfId="253" xr:uid="{00000000-0005-0000-0000-000002010000}"/>
    <cellStyle name="Currency 3 5 4" xfId="254" xr:uid="{00000000-0005-0000-0000-000003010000}"/>
    <cellStyle name="Currency 3 6" xfId="255" xr:uid="{00000000-0005-0000-0000-000004010000}"/>
    <cellStyle name="Currency 3 7" xfId="256" xr:uid="{00000000-0005-0000-0000-000005010000}"/>
    <cellStyle name="Currency 3 8" xfId="257" xr:uid="{00000000-0005-0000-0000-000006010000}"/>
    <cellStyle name="Currency 30" xfId="258" xr:uid="{00000000-0005-0000-0000-000007010000}"/>
    <cellStyle name="Currency 31" xfId="259" xr:uid="{00000000-0005-0000-0000-000008010000}"/>
    <cellStyle name="Currency 32" xfId="260" xr:uid="{00000000-0005-0000-0000-000009010000}"/>
    <cellStyle name="Currency 33" xfId="261" xr:uid="{00000000-0005-0000-0000-00000A010000}"/>
    <cellStyle name="Currency 34" xfId="262" xr:uid="{00000000-0005-0000-0000-00000B010000}"/>
    <cellStyle name="Currency 35" xfId="263" xr:uid="{00000000-0005-0000-0000-00000C010000}"/>
    <cellStyle name="Currency 36" xfId="264" xr:uid="{00000000-0005-0000-0000-00000D010000}"/>
    <cellStyle name="Currency 37" xfId="265" xr:uid="{00000000-0005-0000-0000-00000E010000}"/>
    <cellStyle name="Currency 38" xfId="266" xr:uid="{00000000-0005-0000-0000-00000F010000}"/>
    <cellStyle name="Currency 39" xfId="267" xr:uid="{00000000-0005-0000-0000-000010010000}"/>
    <cellStyle name="Currency 4" xfId="268" xr:uid="{00000000-0005-0000-0000-000011010000}"/>
    <cellStyle name="Currency 4 10" xfId="269" xr:uid="{00000000-0005-0000-0000-000012010000}"/>
    <cellStyle name="Currency 4 11" xfId="270" xr:uid="{00000000-0005-0000-0000-000013010000}"/>
    <cellStyle name="Currency 4 2" xfId="271" xr:uid="{00000000-0005-0000-0000-000014010000}"/>
    <cellStyle name="Currency 4 2 2" xfId="272" xr:uid="{00000000-0005-0000-0000-000015010000}"/>
    <cellStyle name="Currency 4 2 2 2" xfId="273" xr:uid="{00000000-0005-0000-0000-000016010000}"/>
    <cellStyle name="Currency 4 2 2 2 2" xfId="274" xr:uid="{00000000-0005-0000-0000-000017010000}"/>
    <cellStyle name="Currency 4 2 2 2 2 2" xfId="275" xr:uid="{00000000-0005-0000-0000-000018010000}"/>
    <cellStyle name="Currency 4 2 2 2 3" xfId="276" xr:uid="{00000000-0005-0000-0000-000019010000}"/>
    <cellStyle name="Currency 4 2 2 3" xfId="277" xr:uid="{00000000-0005-0000-0000-00001A010000}"/>
    <cellStyle name="Currency 4 2 2 3 2" xfId="278" xr:uid="{00000000-0005-0000-0000-00001B010000}"/>
    <cellStyle name="Currency 4 2 2 4" xfId="279" xr:uid="{00000000-0005-0000-0000-00001C010000}"/>
    <cellStyle name="Currency 4 2 3" xfId="280" xr:uid="{00000000-0005-0000-0000-00001D010000}"/>
    <cellStyle name="Currency 4 2 4" xfId="281" xr:uid="{00000000-0005-0000-0000-00001E010000}"/>
    <cellStyle name="Currency 4 2 4 2" xfId="282" xr:uid="{00000000-0005-0000-0000-00001F010000}"/>
    <cellStyle name="Currency 4 2 4 2 2" xfId="283" xr:uid="{00000000-0005-0000-0000-000020010000}"/>
    <cellStyle name="Currency 4 2 4 2 2 2" xfId="284" xr:uid="{00000000-0005-0000-0000-000021010000}"/>
    <cellStyle name="Currency 4 2 4 2 3" xfId="285" xr:uid="{00000000-0005-0000-0000-000022010000}"/>
    <cellStyle name="Currency 4 2 4 3" xfId="286" xr:uid="{00000000-0005-0000-0000-000023010000}"/>
    <cellStyle name="Currency 4 2 4 3 2" xfId="287" xr:uid="{00000000-0005-0000-0000-000024010000}"/>
    <cellStyle name="Currency 4 2 4 4" xfId="288" xr:uid="{00000000-0005-0000-0000-000025010000}"/>
    <cellStyle name="Currency 4 2 5" xfId="289" xr:uid="{00000000-0005-0000-0000-000026010000}"/>
    <cellStyle name="Currency 4 2 5 2" xfId="290" xr:uid="{00000000-0005-0000-0000-000027010000}"/>
    <cellStyle name="Currency 4 2 5 2 2" xfId="291" xr:uid="{00000000-0005-0000-0000-000028010000}"/>
    <cellStyle name="Currency 4 2 5 3" xfId="292" xr:uid="{00000000-0005-0000-0000-000029010000}"/>
    <cellStyle name="Currency 4 2 6" xfId="293" xr:uid="{00000000-0005-0000-0000-00002A010000}"/>
    <cellStyle name="Currency 4 2 6 2" xfId="294" xr:uid="{00000000-0005-0000-0000-00002B010000}"/>
    <cellStyle name="Currency 4 2 7" xfId="295" xr:uid="{00000000-0005-0000-0000-00002C010000}"/>
    <cellStyle name="Currency 4 3" xfId="296" xr:uid="{00000000-0005-0000-0000-00002D010000}"/>
    <cellStyle name="Currency 4 3 2" xfId="297" xr:uid="{00000000-0005-0000-0000-00002E010000}"/>
    <cellStyle name="Currency 4 3 2 2" xfId="298" xr:uid="{00000000-0005-0000-0000-00002F010000}"/>
    <cellStyle name="Currency 4 3 2 2 2" xfId="299" xr:uid="{00000000-0005-0000-0000-000030010000}"/>
    <cellStyle name="Currency 4 3 2 2 2 2" xfId="300" xr:uid="{00000000-0005-0000-0000-000031010000}"/>
    <cellStyle name="Currency 4 3 2 2 3" xfId="301" xr:uid="{00000000-0005-0000-0000-000032010000}"/>
    <cellStyle name="Currency 4 3 2 3" xfId="302" xr:uid="{00000000-0005-0000-0000-000033010000}"/>
    <cellStyle name="Currency 4 3 2 3 2" xfId="303" xr:uid="{00000000-0005-0000-0000-000034010000}"/>
    <cellStyle name="Currency 4 3 2 4" xfId="304" xr:uid="{00000000-0005-0000-0000-000035010000}"/>
    <cellStyle name="Currency 4 3 3" xfId="305" xr:uid="{00000000-0005-0000-0000-000036010000}"/>
    <cellStyle name="Currency 4 3 3 2" xfId="306" xr:uid="{00000000-0005-0000-0000-000037010000}"/>
    <cellStyle name="Currency 4 3 3 2 2" xfId="307" xr:uid="{00000000-0005-0000-0000-000038010000}"/>
    <cellStyle name="Currency 4 3 3 3" xfId="308" xr:uid="{00000000-0005-0000-0000-000039010000}"/>
    <cellStyle name="Currency 4 3 4" xfId="309" xr:uid="{00000000-0005-0000-0000-00003A010000}"/>
    <cellStyle name="Currency 4 3 4 2" xfId="310" xr:uid="{00000000-0005-0000-0000-00003B010000}"/>
    <cellStyle name="Currency 4 3 5" xfId="311" xr:uid="{00000000-0005-0000-0000-00003C010000}"/>
    <cellStyle name="Currency 4 4" xfId="312" xr:uid="{00000000-0005-0000-0000-00003D010000}"/>
    <cellStyle name="Currency 4 4 2" xfId="313" xr:uid="{00000000-0005-0000-0000-00003E010000}"/>
    <cellStyle name="Currency 4 4 2 2" xfId="314" xr:uid="{00000000-0005-0000-0000-00003F010000}"/>
    <cellStyle name="Currency 4 4 2 2 2" xfId="315" xr:uid="{00000000-0005-0000-0000-000040010000}"/>
    <cellStyle name="Currency 4 4 2 2 2 2" xfId="316" xr:uid="{00000000-0005-0000-0000-000041010000}"/>
    <cellStyle name="Currency 4 4 2 2 3" xfId="317" xr:uid="{00000000-0005-0000-0000-000042010000}"/>
    <cellStyle name="Currency 4 4 2 3" xfId="318" xr:uid="{00000000-0005-0000-0000-000043010000}"/>
    <cellStyle name="Currency 4 4 2 3 2" xfId="319" xr:uid="{00000000-0005-0000-0000-000044010000}"/>
    <cellStyle name="Currency 4 4 2 4" xfId="320" xr:uid="{00000000-0005-0000-0000-000045010000}"/>
    <cellStyle name="Currency 4 4 3" xfId="321" xr:uid="{00000000-0005-0000-0000-000046010000}"/>
    <cellStyle name="Currency 4 4 3 2" xfId="322" xr:uid="{00000000-0005-0000-0000-000047010000}"/>
    <cellStyle name="Currency 4 4 3 2 2" xfId="323" xr:uid="{00000000-0005-0000-0000-000048010000}"/>
    <cellStyle name="Currency 4 4 3 3" xfId="324" xr:uid="{00000000-0005-0000-0000-000049010000}"/>
    <cellStyle name="Currency 4 4 4" xfId="325" xr:uid="{00000000-0005-0000-0000-00004A010000}"/>
    <cellStyle name="Currency 4 4 4 2" xfId="326" xr:uid="{00000000-0005-0000-0000-00004B010000}"/>
    <cellStyle name="Currency 4 4 5" xfId="327" xr:uid="{00000000-0005-0000-0000-00004C010000}"/>
    <cellStyle name="Currency 4 5" xfId="328" xr:uid="{00000000-0005-0000-0000-00004D010000}"/>
    <cellStyle name="Currency 4 5 2" xfId="329" xr:uid="{00000000-0005-0000-0000-00004E010000}"/>
    <cellStyle name="Currency 4 5 2 2" xfId="330" xr:uid="{00000000-0005-0000-0000-00004F010000}"/>
    <cellStyle name="Currency 4 5 2 2 2" xfId="331" xr:uid="{00000000-0005-0000-0000-000050010000}"/>
    <cellStyle name="Currency 4 5 2 3" xfId="332" xr:uid="{00000000-0005-0000-0000-000051010000}"/>
    <cellStyle name="Currency 4 5 3" xfId="333" xr:uid="{00000000-0005-0000-0000-000052010000}"/>
    <cellStyle name="Currency 4 5 3 2" xfId="334" xr:uid="{00000000-0005-0000-0000-000053010000}"/>
    <cellStyle name="Currency 4 5 4" xfId="335" xr:uid="{00000000-0005-0000-0000-000054010000}"/>
    <cellStyle name="Currency 4 6" xfId="336" xr:uid="{00000000-0005-0000-0000-000055010000}"/>
    <cellStyle name="Currency 4 6 2" xfId="337" xr:uid="{00000000-0005-0000-0000-000056010000}"/>
    <cellStyle name="Currency 4 6 2 2" xfId="338" xr:uid="{00000000-0005-0000-0000-000057010000}"/>
    <cellStyle name="Currency 4 6 2 2 2" xfId="339" xr:uid="{00000000-0005-0000-0000-000058010000}"/>
    <cellStyle name="Currency 4 6 2 3" xfId="340" xr:uid="{00000000-0005-0000-0000-000059010000}"/>
    <cellStyle name="Currency 4 6 3" xfId="341" xr:uid="{00000000-0005-0000-0000-00005A010000}"/>
    <cellStyle name="Currency 4 6 3 2" xfId="342" xr:uid="{00000000-0005-0000-0000-00005B010000}"/>
    <cellStyle name="Currency 4 6 4" xfId="343" xr:uid="{00000000-0005-0000-0000-00005C010000}"/>
    <cellStyle name="Currency 4 7" xfId="344" xr:uid="{00000000-0005-0000-0000-00005D010000}"/>
    <cellStyle name="Currency 4 7 2" xfId="345" xr:uid="{00000000-0005-0000-0000-00005E010000}"/>
    <cellStyle name="Currency 4 7 2 2" xfId="346" xr:uid="{00000000-0005-0000-0000-00005F010000}"/>
    <cellStyle name="Currency 4 7 2 2 2" xfId="347" xr:uid="{00000000-0005-0000-0000-000060010000}"/>
    <cellStyle name="Currency 4 7 2 3" xfId="348" xr:uid="{00000000-0005-0000-0000-000061010000}"/>
    <cellStyle name="Currency 4 7 3" xfId="349" xr:uid="{00000000-0005-0000-0000-000062010000}"/>
    <cellStyle name="Currency 4 7 3 2" xfId="350" xr:uid="{00000000-0005-0000-0000-000063010000}"/>
    <cellStyle name="Currency 4 7 4" xfId="351" xr:uid="{00000000-0005-0000-0000-000064010000}"/>
    <cellStyle name="Currency 4 8" xfId="352" xr:uid="{00000000-0005-0000-0000-000065010000}"/>
    <cellStyle name="Currency 4 8 2" xfId="353" xr:uid="{00000000-0005-0000-0000-000066010000}"/>
    <cellStyle name="Currency 4 8 2 2" xfId="354" xr:uid="{00000000-0005-0000-0000-000067010000}"/>
    <cellStyle name="Currency 4 8 3" xfId="355" xr:uid="{00000000-0005-0000-0000-000068010000}"/>
    <cellStyle name="Currency 4 9" xfId="356" xr:uid="{00000000-0005-0000-0000-000069010000}"/>
    <cellStyle name="Currency 4 9 2" xfId="357" xr:uid="{00000000-0005-0000-0000-00006A010000}"/>
    <cellStyle name="Currency 40" xfId="358" xr:uid="{00000000-0005-0000-0000-00006B010000}"/>
    <cellStyle name="Currency 41" xfId="359" xr:uid="{00000000-0005-0000-0000-00006C010000}"/>
    <cellStyle name="Currency 42" xfId="360" xr:uid="{00000000-0005-0000-0000-00006D010000}"/>
    <cellStyle name="Currency 43" xfId="361" xr:uid="{00000000-0005-0000-0000-00006E010000}"/>
    <cellStyle name="Currency 44" xfId="362" xr:uid="{00000000-0005-0000-0000-00006F010000}"/>
    <cellStyle name="Currency 45" xfId="363" xr:uid="{00000000-0005-0000-0000-000070010000}"/>
    <cellStyle name="Currency 46" xfId="364" xr:uid="{00000000-0005-0000-0000-000071010000}"/>
    <cellStyle name="Currency 47" xfId="365" xr:uid="{00000000-0005-0000-0000-000072010000}"/>
    <cellStyle name="Currency 48" xfId="1255" xr:uid="{00000000-0005-0000-0000-000073010000}"/>
    <cellStyle name="Currency 49" xfId="366" xr:uid="{00000000-0005-0000-0000-000074010000}"/>
    <cellStyle name="Currency 5" xfId="367" xr:uid="{00000000-0005-0000-0000-000075010000}"/>
    <cellStyle name="Currency 5 2" xfId="368" xr:uid="{00000000-0005-0000-0000-000076010000}"/>
    <cellStyle name="Currency 5 2 2" xfId="369" xr:uid="{00000000-0005-0000-0000-000077010000}"/>
    <cellStyle name="Currency 5 3" xfId="370" xr:uid="{00000000-0005-0000-0000-000078010000}"/>
    <cellStyle name="Currency 5 3 2" xfId="371" xr:uid="{00000000-0005-0000-0000-000079010000}"/>
    <cellStyle name="Currency 5 3 3" xfId="372" xr:uid="{00000000-0005-0000-0000-00007A010000}"/>
    <cellStyle name="Currency 5 4" xfId="373" xr:uid="{00000000-0005-0000-0000-00007B010000}"/>
    <cellStyle name="Currency 5 5" xfId="374" xr:uid="{00000000-0005-0000-0000-00007C010000}"/>
    <cellStyle name="Currency 5 6" xfId="375" xr:uid="{00000000-0005-0000-0000-00007D010000}"/>
    <cellStyle name="Currency 6" xfId="376" xr:uid="{00000000-0005-0000-0000-00007E010000}"/>
    <cellStyle name="Currency 6 2" xfId="377" xr:uid="{00000000-0005-0000-0000-00007F010000}"/>
    <cellStyle name="Currency 6 2 2" xfId="378" xr:uid="{00000000-0005-0000-0000-000080010000}"/>
    <cellStyle name="Currency 6 2 2 2" xfId="379" xr:uid="{00000000-0005-0000-0000-000081010000}"/>
    <cellStyle name="Currency 6 2 3" xfId="380" xr:uid="{00000000-0005-0000-0000-000082010000}"/>
    <cellStyle name="Currency 6 3" xfId="381" xr:uid="{00000000-0005-0000-0000-000083010000}"/>
    <cellStyle name="Currency 6 3 2" xfId="382" xr:uid="{00000000-0005-0000-0000-000084010000}"/>
    <cellStyle name="Currency 6 4" xfId="383" xr:uid="{00000000-0005-0000-0000-000085010000}"/>
    <cellStyle name="Currency 7" xfId="384" xr:uid="{00000000-0005-0000-0000-000086010000}"/>
    <cellStyle name="Currency 7 2" xfId="385" xr:uid="{00000000-0005-0000-0000-000087010000}"/>
    <cellStyle name="Currency 7 2 2" xfId="386" xr:uid="{00000000-0005-0000-0000-000088010000}"/>
    <cellStyle name="Currency 7 2 2 2" xfId="387" xr:uid="{00000000-0005-0000-0000-000089010000}"/>
    <cellStyle name="Currency 7 2 3" xfId="388" xr:uid="{00000000-0005-0000-0000-00008A010000}"/>
    <cellStyle name="Currency 7 3" xfId="389" xr:uid="{00000000-0005-0000-0000-00008B010000}"/>
    <cellStyle name="Currency 7 3 2" xfId="390" xr:uid="{00000000-0005-0000-0000-00008C010000}"/>
    <cellStyle name="Currency 7 4" xfId="391" xr:uid="{00000000-0005-0000-0000-00008D010000}"/>
    <cellStyle name="Currency 8" xfId="392" xr:uid="{00000000-0005-0000-0000-00008E010000}"/>
    <cellStyle name="Currency 8 2" xfId="393" xr:uid="{00000000-0005-0000-0000-00008F010000}"/>
    <cellStyle name="Currency 8 2 2" xfId="394" xr:uid="{00000000-0005-0000-0000-000090010000}"/>
    <cellStyle name="Currency 8 3" xfId="395" xr:uid="{00000000-0005-0000-0000-000091010000}"/>
    <cellStyle name="Currency 9" xfId="396" xr:uid="{00000000-0005-0000-0000-000092010000}"/>
    <cellStyle name="Currency 9 2" xfId="397" xr:uid="{00000000-0005-0000-0000-000093010000}"/>
    <cellStyle name="Currency 9 2 2" xfId="398" xr:uid="{00000000-0005-0000-0000-000094010000}"/>
    <cellStyle name="Currency 9 3" xfId="399" xr:uid="{00000000-0005-0000-0000-000095010000}"/>
    <cellStyle name="Explanatory Text 2" xfId="400" xr:uid="{00000000-0005-0000-0000-000096010000}"/>
    <cellStyle name="Explanatory Text 2 2" xfId="401" xr:uid="{00000000-0005-0000-0000-000097010000}"/>
    <cellStyle name="Explanatory Text 2 3" xfId="402" xr:uid="{00000000-0005-0000-0000-000098010000}"/>
    <cellStyle name="Font: Calibri, 9pt regular" xfId="403" xr:uid="{00000000-0005-0000-0000-000099010000}"/>
    <cellStyle name="Footnotes: top row" xfId="404" xr:uid="{00000000-0005-0000-0000-00009A010000}"/>
    <cellStyle name="Good 2" xfId="405" xr:uid="{00000000-0005-0000-0000-00009B010000}"/>
    <cellStyle name="Header: bottom row" xfId="406" xr:uid="{00000000-0005-0000-0000-00009C010000}"/>
    <cellStyle name="Heading 1 2" xfId="407" xr:uid="{00000000-0005-0000-0000-00009D010000}"/>
    <cellStyle name="Heading 1 2 2" xfId="408" xr:uid="{00000000-0005-0000-0000-00009E010000}"/>
    <cellStyle name="Heading 1 2 3" xfId="409" xr:uid="{00000000-0005-0000-0000-00009F010000}"/>
    <cellStyle name="Heading 2 2" xfId="410" xr:uid="{00000000-0005-0000-0000-0000A0010000}"/>
    <cellStyle name="Heading 2 2 2" xfId="411" xr:uid="{00000000-0005-0000-0000-0000A1010000}"/>
    <cellStyle name="Heading 2 2 3" xfId="412" xr:uid="{00000000-0005-0000-0000-0000A2010000}"/>
    <cellStyle name="Heading 3 2" xfId="413" xr:uid="{00000000-0005-0000-0000-0000A3010000}"/>
    <cellStyle name="Heading 3 2 2" xfId="414" xr:uid="{00000000-0005-0000-0000-0000A4010000}"/>
    <cellStyle name="Heading 3 2 3" xfId="415" xr:uid="{00000000-0005-0000-0000-0000A5010000}"/>
    <cellStyle name="Heading 4 2" xfId="416" xr:uid="{00000000-0005-0000-0000-0000A6010000}"/>
    <cellStyle name="Heading 4 2 2" xfId="417" xr:uid="{00000000-0005-0000-0000-0000A7010000}"/>
    <cellStyle name="Heading 4 2 3" xfId="418" xr:uid="{00000000-0005-0000-0000-0000A8010000}"/>
    <cellStyle name="Hyperlink 2" xfId="419" xr:uid="{00000000-0005-0000-0000-0000A9010000}"/>
    <cellStyle name="Input 2" xfId="420" xr:uid="{00000000-0005-0000-0000-0000AA010000}"/>
    <cellStyle name="Input 2 2" xfId="421" xr:uid="{00000000-0005-0000-0000-0000AB010000}"/>
    <cellStyle name="Input 2 2 2" xfId="1256" xr:uid="{00000000-0005-0000-0000-0000AC010000}"/>
    <cellStyle name="Input 2 3" xfId="422" xr:uid="{00000000-0005-0000-0000-0000AD010000}"/>
    <cellStyle name="Linked Cell 2" xfId="423" xr:uid="{00000000-0005-0000-0000-0000AE010000}"/>
    <cellStyle name="Linked Cell 2 2" xfId="424" xr:uid="{00000000-0005-0000-0000-0000AF010000}"/>
    <cellStyle name="Linked Cell 2 3" xfId="425" xr:uid="{00000000-0005-0000-0000-0000B0010000}"/>
    <cellStyle name="Neutral 2" xfId="426" xr:uid="{00000000-0005-0000-0000-0000B1010000}"/>
    <cellStyle name="Neutral 3" xfId="427" xr:uid="{00000000-0005-0000-0000-0000B2010000}"/>
    <cellStyle name="Normal" xfId="0" builtinId="0"/>
    <cellStyle name="Normal 10" xfId="428" xr:uid="{00000000-0005-0000-0000-0000B4010000}"/>
    <cellStyle name="Normal 10 2" xfId="429" xr:uid="{00000000-0005-0000-0000-0000B5010000}"/>
    <cellStyle name="Normal 10 2 2" xfId="430" xr:uid="{00000000-0005-0000-0000-0000B6010000}"/>
    <cellStyle name="Normal 10 2 2 2" xfId="431" xr:uid="{00000000-0005-0000-0000-0000B7010000}"/>
    <cellStyle name="Normal 10 2 2 2 2" xfId="432" xr:uid="{00000000-0005-0000-0000-0000B8010000}"/>
    <cellStyle name="Normal 10 2 2 3" xfId="433" xr:uid="{00000000-0005-0000-0000-0000B9010000}"/>
    <cellStyle name="Normal 10 2 3" xfId="434" xr:uid="{00000000-0005-0000-0000-0000BA010000}"/>
    <cellStyle name="Normal 10 2 3 2" xfId="435" xr:uid="{00000000-0005-0000-0000-0000BB010000}"/>
    <cellStyle name="Normal 10 2 4" xfId="436" xr:uid="{00000000-0005-0000-0000-0000BC010000}"/>
    <cellStyle name="Normal 10 3" xfId="437" xr:uid="{00000000-0005-0000-0000-0000BD010000}"/>
    <cellStyle name="Normal 10 3 2" xfId="438" xr:uid="{00000000-0005-0000-0000-0000BE010000}"/>
    <cellStyle name="Normal 10 3 3" xfId="1257" xr:uid="{00000000-0005-0000-0000-0000BF010000}"/>
    <cellStyle name="Normal 10 4" xfId="439" xr:uid="{00000000-0005-0000-0000-0000C0010000}"/>
    <cellStyle name="Normal 10 4 2" xfId="440" xr:uid="{00000000-0005-0000-0000-0000C1010000}"/>
    <cellStyle name="Normal 10 4 2 2" xfId="441" xr:uid="{00000000-0005-0000-0000-0000C2010000}"/>
    <cellStyle name="Normal 10 4 3" xfId="442" xr:uid="{00000000-0005-0000-0000-0000C3010000}"/>
    <cellStyle name="Normal 10 5" xfId="443" xr:uid="{00000000-0005-0000-0000-0000C4010000}"/>
    <cellStyle name="Normal 10 5 2" xfId="444" xr:uid="{00000000-0005-0000-0000-0000C5010000}"/>
    <cellStyle name="Normal 10 6" xfId="445" xr:uid="{00000000-0005-0000-0000-0000C6010000}"/>
    <cellStyle name="Normal 11" xfId="446" xr:uid="{00000000-0005-0000-0000-0000C7010000}"/>
    <cellStyle name="Normal 11 2" xfId="447" xr:uid="{00000000-0005-0000-0000-0000C8010000}"/>
    <cellStyle name="Normal 11 2 2" xfId="448" xr:uid="{00000000-0005-0000-0000-0000C9010000}"/>
    <cellStyle name="Normal 11 2 3" xfId="1258" xr:uid="{00000000-0005-0000-0000-0000CA010000}"/>
    <cellStyle name="Normal 11 3" xfId="1259" xr:uid="{00000000-0005-0000-0000-0000CB010000}"/>
    <cellStyle name="Normal 12" xfId="449" xr:uid="{00000000-0005-0000-0000-0000CC010000}"/>
    <cellStyle name="Normal 12 2" xfId="450" xr:uid="{00000000-0005-0000-0000-0000CD010000}"/>
    <cellStyle name="Normal 12 2 2" xfId="451" xr:uid="{00000000-0005-0000-0000-0000CE010000}"/>
    <cellStyle name="Normal 12 2 2 2" xfId="452" xr:uid="{00000000-0005-0000-0000-0000CF010000}"/>
    <cellStyle name="Normal 12 2 3" xfId="453" xr:uid="{00000000-0005-0000-0000-0000D0010000}"/>
    <cellStyle name="Normal 12 3" xfId="454" xr:uid="{00000000-0005-0000-0000-0000D1010000}"/>
    <cellStyle name="Normal 12 3 2" xfId="455" xr:uid="{00000000-0005-0000-0000-0000D2010000}"/>
    <cellStyle name="Normal 12 4" xfId="456" xr:uid="{00000000-0005-0000-0000-0000D3010000}"/>
    <cellStyle name="Normal 13" xfId="457" xr:uid="{00000000-0005-0000-0000-0000D4010000}"/>
    <cellStyle name="Normal 13 2" xfId="458" xr:uid="{00000000-0005-0000-0000-0000D5010000}"/>
    <cellStyle name="Normal 13 2 2" xfId="459" xr:uid="{00000000-0005-0000-0000-0000D6010000}"/>
    <cellStyle name="Normal 13 2 2 2" xfId="460" xr:uid="{00000000-0005-0000-0000-0000D7010000}"/>
    <cellStyle name="Normal 13 2 3" xfId="461" xr:uid="{00000000-0005-0000-0000-0000D8010000}"/>
    <cellStyle name="Normal 13 3" xfId="462" xr:uid="{00000000-0005-0000-0000-0000D9010000}"/>
    <cellStyle name="Normal 13 3 2" xfId="463" xr:uid="{00000000-0005-0000-0000-0000DA010000}"/>
    <cellStyle name="Normal 13 4" xfId="464" xr:uid="{00000000-0005-0000-0000-0000DB010000}"/>
    <cellStyle name="Normal 14" xfId="465" xr:uid="{00000000-0005-0000-0000-0000DC010000}"/>
    <cellStyle name="Normal 14 2" xfId="466" xr:uid="{00000000-0005-0000-0000-0000DD010000}"/>
    <cellStyle name="Normal 15" xfId="467" xr:uid="{00000000-0005-0000-0000-0000DE010000}"/>
    <cellStyle name="Normal 15 2" xfId="468" xr:uid="{00000000-0005-0000-0000-0000DF010000}"/>
    <cellStyle name="Normal 15 2 2" xfId="469" xr:uid="{00000000-0005-0000-0000-0000E0010000}"/>
    <cellStyle name="Normal 15 2 2 2" xfId="470" xr:uid="{00000000-0005-0000-0000-0000E1010000}"/>
    <cellStyle name="Normal 15 2 3" xfId="471" xr:uid="{00000000-0005-0000-0000-0000E2010000}"/>
    <cellStyle name="Normal 15 2 4" xfId="472" xr:uid="{00000000-0005-0000-0000-0000E3010000}"/>
    <cellStyle name="Normal 15 3" xfId="473" xr:uid="{00000000-0005-0000-0000-0000E4010000}"/>
    <cellStyle name="Normal 15 3 2" xfId="474" xr:uid="{00000000-0005-0000-0000-0000E5010000}"/>
    <cellStyle name="Normal 15 4" xfId="475" xr:uid="{00000000-0005-0000-0000-0000E6010000}"/>
    <cellStyle name="Normal 16" xfId="476" xr:uid="{00000000-0005-0000-0000-0000E7010000}"/>
    <cellStyle name="Normal 16 2" xfId="477" xr:uid="{00000000-0005-0000-0000-0000E8010000}"/>
    <cellStyle name="Normal 16 2 2" xfId="478" xr:uid="{00000000-0005-0000-0000-0000E9010000}"/>
    <cellStyle name="Normal 16 3" xfId="479" xr:uid="{00000000-0005-0000-0000-0000EA010000}"/>
    <cellStyle name="Normal 17" xfId="480" xr:uid="{00000000-0005-0000-0000-0000EB010000}"/>
    <cellStyle name="Normal 17 2" xfId="481" xr:uid="{00000000-0005-0000-0000-0000EC010000}"/>
    <cellStyle name="Normal 17 2 2" xfId="482" xr:uid="{00000000-0005-0000-0000-0000ED010000}"/>
    <cellStyle name="Normal 17 3" xfId="483" xr:uid="{00000000-0005-0000-0000-0000EE010000}"/>
    <cellStyle name="Normal 18" xfId="484" xr:uid="{00000000-0005-0000-0000-0000EF010000}"/>
    <cellStyle name="Normal 18 2" xfId="485" xr:uid="{00000000-0005-0000-0000-0000F0010000}"/>
    <cellStyle name="Normal 18 2 2" xfId="486" xr:uid="{00000000-0005-0000-0000-0000F1010000}"/>
    <cellStyle name="Normal 18 3" xfId="487" xr:uid="{00000000-0005-0000-0000-0000F2010000}"/>
    <cellStyle name="Normal 19" xfId="488" xr:uid="{00000000-0005-0000-0000-0000F3010000}"/>
    <cellStyle name="Normal 19 2" xfId="489" xr:uid="{00000000-0005-0000-0000-0000F4010000}"/>
    <cellStyle name="Normal 19 2 2" xfId="490" xr:uid="{00000000-0005-0000-0000-0000F5010000}"/>
    <cellStyle name="Normal 19 3" xfId="491" xr:uid="{00000000-0005-0000-0000-0000F6010000}"/>
    <cellStyle name="Normal 2" xfId="492" xr:uid="{00000000-0005-0000-0000-0000F7010000}"/>
    <cellStyle name="Normal 2 2" xfId="493" xr:uid="{00000000-0005-0000-0000-0000F8010000}"/>
    <cellStyle name="Normal 2 2 2" xfId="494" xr:uid="{00000000-0005-0000-0000-0000F9010000}"/>
    <cellStyle name="Normal 2 2 2 2" xfId="1260" xr:uid="{00000000-0005-0000-0000-0000FA010000}"/>
    <cellStyle name="Normal 2 2 3" xfId="495" xr:uid="{00000000-0005-0000-0000-0000FB010000}"/>
    <cellStyle name="Normal 2 2 4" xfId="1315" xr:uid="{21BD17BB-ED67-4033-BAB7-392A28D691C2}"/>
    <cellStyle name="Normal 2 3" xfId="496" xr:uid="{00000000-0005-0000-0000-0000FC010000}"/>
    <cellStyle name="Normal 2 3 2" xfId="497" xr:uid="{00000000-0005-0000-0000-0000FD010000}"/>
    <cellStyle name="Normal 2 3 2 2" xfId="498" xr:uid="{00000000-0005-0000-0000-0000FE010000}"/>
    <cellStyle name="Normal 2 3 2 2 2" xfId="499" xr:uid="{00000000-0005-0000-0000-0000FF010000}"/>
    <cellStyle name="Normal 2 3 2 2 2 2" xfId="500" xr:uid="{00000000-0005-0000-0000-000000020000}"/>
    <cellStyle name="Normal 2 3 2 2 2 2 2" xfId="501" xr:uid="{00000000-0005-0000-0000-000001020000}"/>
    <cellStyle name="Normal 2 3 2 2 2 3" xfId="502" xr:uid="{00000000-0005-0000-0000-000002020000}"/>
    <cellStyle name="Normal 2 3 2 2 3" xfId="503" xr:uid="{00000000-0005-0000-0000-000003020000}"/>
    <cellStyle name="Normal 2 3 2 2 3 2" xfId="504" xr:uid="{00000000-0005-0000-0000-000004020000}"/>
    <cellStyle name="Normal 2 3 2 2 4" xfId="505" xr:uid="{00000000-0005-0000-0000-000005020000}"/>
    <cellStyle name="Normal 2 3 2 3" xfId="506" xr:uid="{00000000-0005-0000-0000-000006020000}"/>
    <cellStyle name="Normal 2 3 2 3 2" xfId="507" xr:uid="{00000000-0005-0000-0000-000007020000}"/>
    <cellStyle name="Normal 2 3 2 3 2 2" xfId="508" xr:uid="{00000000-0005-0000-0000-000008020000}"/>
    <cellStyle name="Normal 2 3 2 3 3" xfId="509" xr:uid="{00000000-0005-0000-0000-000009020000}"/>
    <cellStyle name="Normal 2 3 2 4" xfId="510" xr:uid="{00000000-0005-0000-0000-00000A020000}"/>
    <cellStyle name="Normal 2 3 2 4 2" xfId="511" xr:uid="{00000000-0005-0000-0000-00000B020000}"/>
    <cellStyle name="Normal 2 3 2 5" xfId="512" xr:uid="{00000000-0005-0000-0000-00000C020000}"/>
    <cellStyle name="Normal 2 3 3" xfId="513" xr:uid="{00000000-0005-0000-0000-00000D020000}"/>
    <cellStyle name="Normal 2 3 3 2" xfId="514" xr:uid="{00000000-0005-0000-0000-00000E020000}"/>
    <cellStyle name="Normal 2 3 3 2 2" xfId="515" xr:uid="{00000000-0005-0000-0000-00000F020000}"/>
    <cellStyle name="Normal 2 3 3 2 2 2" xfId="516" xr:uid="{00000000-0005-0000-0000-000010020000}"/>
    <cellStyle name="Normal 2 3 3 2 3" xfId="517" xr:uid="{00000000-0005-0000-0000-000011020000}"/>
    <cellStyle name="Normal 2 3 3 3" xfId="518" xr:uid="{00000000-0005-0000-0000-000012020000}"/>
    <cellStyle name="Normal 2 3 3 3 2" xfId="519" xr:uid="{00000000-0005-0000-0000-000013020000}"/>
    <cellStyle name="Normal 2 3 3 4" xfId="520" xr:uid="{00000000-0005-0000-0000-000014020000}"/>
    <cellStyle name="Normal 2 3 4" xfId="521" xr:uid="{00000000-0005-0000-0000-000015020000}"/>
    <cellStyle name="Normal 2 3 4 2" xfId="522" xr:uid="{00000000-0005-0000-0000-000016020000}"/>
    <cellStyle name="Normal 2 3 4 2 2" xfId="523" xr:uid="{00000000-0005-0000-0000-000017020000}"/>
    <cellStyle name="Normal 2 3 4 2 2 2" xfId="524" xr:uid="{00000000-0005-0000-0000-000018020000}"/>
    <cellStyle name="Normal 2 3 4 2 3" xfId="525" xr:uid="{00000000-0005-0000-0000-000019020000}"/>
    <cellStyle name="Normal 2 3 4 3" xfId="526" xr:uid="{00000000-0005-0000-0000-00001A020000}"/>
    <cellStyle name="Normal 2 3 4 3 2" xfId="527" xr:uid="{00000000-0005-0000-0000-00001B020000}"/>
    <cellStyle name="Normal 2 3 4 4" xfId="528" xr:uid="{00000000-0005-0000-0000-00001C020000}"/>
    <cellStyle name="Normal 2 3 5" xfId="529" xr:uid="{00000000-0005-0000-0000-00001D020000}"/>
    <cellStyle name="Normal 2 3 5 2" xfId="530" xr:uid="{00000000-0005-0000-0000-00001E020000}"/>
    <cellStyle name="Normal 2 3 5 2 2" xfId="531" xr:uid="{00000000-0005-0000-0000-00001F020000}"/>
    <cellStyle name="Normal 2 3 5 3" xfId="532" xr:uid="{00000000-0005-0000-0000-000020020000}"/>
    <cellStyle name="Normal 2 3 6" xfId="533" xr:uid="{00000000-0005-0000-0000-000021020000}"/>
    <cellStyle name="Normal 2 3 6 2" xfId="534" xr:uid="{00000000-0005-0000-0000-000022020000}"/>
    <cellStyle name="Normal 2 3 7" xfId="535" xr:uid="{00000000-0005-0000-0000-000023020000}"/>
    <cellStyle name="Normal 2 4" xfId="536" xr:uid="{00000000-0005-0000-0000-000024020000}"/>
    <cellStyle name="Normal 2 4 2" xfId="537" xr:uid="{00000000-0005-0000-0000-000025020000}"/>
    <cellStyle name="Normal 2 4 3" xfId="538" xr:uid="{00000000-0005-0000-0000-000026020000}"/>
    <cellStyle name="Normal 2 5" xfId="539" xr:uid="{00000000-0005-0000-0000-000027020000}"/>
    <cellStyle name="Normal 2 5 2" xfId="540" xr:uid="{00000000-0005-0000-0000-000028020000}"/>
    <cellStyle name="Normal 2 5 2 2" xfId="541" xr:uid="{00000000-0005-0000-0000-000029020000}"/>
    <cellStyle name="Normal 2 5 2 2 2" xfId="542" xr:uid="{00000000-0005-0000-0000-00002A020000}"/>
    <cellStyle name="Normal 2 5 2 3" xfId="543" xr:uid="{00000000-0005-0000-0000-00002B020000}"/>
    <cellStyle name="Normal 2 5 3" xfId="544" xr:uid="{00000000-0005-0000-0000-00002C020000}"/>
    <cellStyle name="Normal 2 5 3 2" xfId="545" xr:uid="{00000000-0005-0000-0000-00002D020000}"/>
    <cellStyle name="Normal 2 5 4" xfId="546" xr:uid="{00000000-0005-0000-0000-00002E020000}"/>
    <cellStyle name="Normal 2 6" xfId="547" xr:uid="{00000000-0005-0000-0000-00002F020000}"/>
    <cellStyle name="Normal 2_Current Payroll" xfId="548" xr:uid="{00000000-0005-0000-0000-000030020000}"/>
    <cellStyle name="Normal 20" xfId="549" xr:uid="{00000000-0005-0000-0000-000031020000}"/>
    <cellStyle name="Normal 20 2" xfId="550" xr:uid="{00000000-0005-0000-0000-000032020000}"/>
    <cellStyle name="Normal 20 2 2" xfId="551" xr:uid="{00000000-0005-0000-0000-000033020000}"/>
    <cellStyle name="Normal 20 3" xfId="552" xr:uid="{00000000-0005-0000-0000-000034020000}"/>
    <cellStyle name="Normal 21" xfId="553" xr:uid="{00000000-0005-0000-0000-000035020000}"/>
    <cellStyle name="Normal 21 2" xfId="554" xr:uid="{00000000-0005-0000-0000-000036020000}"/>
    <cellStyle name="Normal 21 2 2" xfId="555" xr:uid="{00000000-0005-0000-0000-000037020000}"/>
    <cellStyle name="Normal 21 3" xfId="556" xr:uid="{00000000-0005-0000-0000-000038020000}"/>
    <cellStyle name="Normal 21 4" xfId="1261" xr:uid="{00000000-0005-0000-0000-000039020000}"/>
    <cellStyle name="Normal 22" xfId="557" xr:uid="{00000000-0005-0000-0000-00003A020000}"/>
    <cellStyle name="Normal 22 2" xfId="558" xr:uid="{00000000-0005-0000-0000-00003B020000}"/>
    <cellStyle name="Normal 22 2 2" xfId="559" xr:uid="{00000000-0005-0000-0000-00003C020000}"/>
    <cellStyle name="Normal 22 3" xfId="560" xr:uid="{00000000-0005-0000-0000-00003D020000}"/>
    <cellStyle name="Normal 23" xfId="561" xr:uid="{00000000-0005-0000-0000-00003E020000}"/>
    <cellStyle name="Normal 23 2" xfId="562" xr:uid="{00000000-0005-0000-0000-00003F020000}"/>
    <cellStyle name="Normal 23 2 2" xfId="563" xr:uid="{00000000-0005-0000-0000-000040020000}"/>
    <cellStyle name="Normal 23 3" xfId="564" xr:uid="{00000000-0005-0000-0000-000041020000}"/>
    <cellStyle name="Normal 24" xfId="565" xr:uid="{00000000-0005-0000-0000-000042020000}"/>
    <cellStyle name="Normal 24 2" xfId="566" xr:uid="{00000000-0005-0000-0000-000043020000}"/>
    <cellStyle name="Normal 24 2 2" xfId="567" xr:uid="{00000000-0005-0000-0000-000044020000}"/>
    <cellStyle name="Normal 24 3" xfId="568" xr:uid="{00000000-0005-0000-0000-000045020000}"/>
    <cellStyle name="Normal 25" xfId="569" xr:uid="{00000000-0005-0000-0000-000046020000}"/>
    <cellStyle name="Normal 25 2" xfId="570" xr:uid="{00000000-0005-0000-0000-000047020000}"/>
    <cellStyle name="Normal 25 2 2" xfId="571" xr:uid="{00000000-0005-0000-0000-000048020000}"/>
    <cellStyle name="Normal 25 3" xfId="572" xr:uid="{00000000-0005-0000-0000-000049020000}"/>
    <cellStyle name="Normal 26" xfId="573" xr:uid="{00000000-0005-0000-0000-00004A020000}"/>
    <cellStyle name="Normal 26 2" xfId="574" xr:uid="{00000000-0005-0000-0000-00004B020000}"/>
    <cellStyle name="Normal 26 2 2" xfId="575" xr:uid="{00000000-0005-0000-0000-00004C020000}"/>
    <cellStyle name="Normal 26 3" xfId="576" xr:uid="{00000000-0005-0000-0000-00004D020000}"/>
    <cellStyle name="Normal 27" xfId="577" xr:uid="{00000000-0005-0000-0000-00004E020000}"/>
    <cellStyle name="Normal 27 2" xfId="578" xr:uid="{00000000-0005-0000-0000-00004F020000}"/>
    <cellStyle name="Normal 27 2 2" xfId="579" xr:uid="{00000000-0005-0000-0000-000050020000}"/>
    <cellStyle name="Normal 27 3" xfId="580" xr:uid="{00000000-0005-0000-0000-000051020000}"/>
    <cellStyle name="Normal 28" xfId="581" xr:uid="{00000000-0005-0000-0000-000052020000}"/>
    <cellStyle name="Normal 28 2" xfId="582" xr:uid="{00000000-0005-0000-0000-000053020000}"/>
    <cellStyle name="Normal 28 2 2" xfId="583" xr:uid="{00000000-0005-0000-0000-000054020000}"/>
    <cellStyle name="Normal 28 3" xfId="584" xr:uid="{00000000-0005-0000-0000-000055020000}"/>
    <cellStyle name="Normal 29" xfId="585" xr:uid="{00000000-0005-0000-0000-000056020000}"/>
    <cellStyle name="Normal 29 2" xfId="586" xr:uid="{00000000-0005-0000-0000-000057020000}"/>
    <cellStyle name="Normal 29 2 2" xfId="587" xr:uid="{00000000-0005-0000-0000-000058020000}"/>
    <cellStyle name="Normal 29 3" xfId="588" xr:uid="{00000000-0005-0000-0000-000059020000}"/>
    <cellStyle name="Normal 3" xfId="589" xr:uid="{00000000-0005-0000-0000-00005A020000}"/>
    <cellStyle name="Normal 3 10" xfId="590" xr:uid="{00000000-0005-0000-0000-00005B020000}"/>
    <cellStyle name="Normal 3 11" xfId="591" xr:uid="{00000000-0005-0000-0000-00005C020000}"/>
    <cellStyle name="Normal 3 12" xfId="592" xr:uid="{00000000-0005-0000-0000-00005D020000}"/>
    <cellStyle name="Normal 3 2" xfId="593" xr:uid="{00000000-0005-0000-0000-00005E020000}"/>
    <cellStyle name="Normal 3 2 2" xfId="594" xr:uid="{00000000-0005-0000-0000-00005F020000}"/>
    <cellStyle name="Normal 3 2 2 2" xfId="595" xr:uid="{00000000-0005-0000-0000-000060020000}"/>
    <cellStyle name="Normal 3 2 2 2 2" xfId="596" xr:uid="{00000000-0005-0000-0000-000061020000}"/>
    <cellStyle name="Normal 3 2 2 2 2 2" xfId="597" xr:uid="{00000000-0005-0000-0000-000062020000}"/>
    <cellStyle name="Normal 3 2 2 2 2 2 2" xfId="598" xr:uid="{00000000-0005-0000-0000-000063020000}"/>
    <cellStyle name="Normal 3 2 2 2 2 3" xfId="599" xr:uid="{00000000-0005-0000-0000-000064020000}"/>
    <cellStyle name="Normal 3 2 2 2 3" xfId="600" xr:uid="{00000000-0005-0000-0000-000065020000}"/>
    <cellStyle name="Normal 3 2 2 2 3 2" xfId="601" xr:uid="{00000000-0005-0000-0000-000066020000}"/>
    <cellStyle name="Normal 3 2 2 2 4" xfId="602" xr:uid="{00000000-0005-0000-0000-000067020000}"/>
    <cellStyle name="Normal 3 2 2 3" xfId="603" xr:uid="{00000000-0005-0000-0000-000068020000}"/>
    <cellStyle name="Normal 3 2 2 3 2" xfId="604" xr:uid="{00000000-0005-0000-0000-000069020000}"/>
    <cellStyle name="Normal 3 2 2 3 2 2" xfId="605" xr:uid="{00000000-0005-0000-0000-00006A020000}"/>
    <cellStyle name="Normal 3 2 2 3 3" xfId="606" xr:uid="{00000000-0005-0000-0000-00006B020000}"/>
    <cellStyle name="Normal 3 2 2 4" xfId="607" xr:uid="{00000000-0005-0000-0000-00006C020000}"/>
    <cellStyle name="Normal 3 2 2 4 2" xfId="608" xr:uid="{00000000-0005-0000-0000-00006D020000}"/>
    <cellStyle name="Normal 3 2 2 5" xfId="609" xr:uid="{00000000-0005-0000-0000-00006E020000}"/>
    <cellStyle name="Normal 3 2 3" xfId="610" xr:uid="{00000000-0005-0000-0000-00006F020000}"/>
    <cellStyle name="Normal 3 2 3 2" xfId="611" xr:uid="{00000000-0005-0000-0000-000070020000}"/>
    <cellStyle name="Normal 3 2 3 2 2" xfId="612" xr:uid="{00000000-0005-0000-0000-000071020000}"/>
    <cellStyle name="Normal 3 2 3 2 2 2" xfId="613" xr:uid="{00000000-0005-0000-0000-000072020000}"/>
    <cellStyle name="Normal 3 2 3 2 3" xfId="614" xr:uid="{00000000-0005-0000-0000-000073020000}"/>
    <cellStyle name="Normal 3 2 3 3" xfId="615" xr:uid="{00000000-0005-0000-0000-000074020000}"/>
    <cellStyle name="Normal 3 2 3 3 2" xfId="616" xr:uid="{00000000-0005-0000-0000-000075020000}"/>
    <cellStyle name="Normal 3 2 3 4" xfId="617" xr:uid="{00000000-0005-0000-0000-000076020000}"/>
    <cellStyle name="Normal 3 2 4" xfId="618" xr:uid="{00000000-0005-0000-0000-000077020000}"/>
    <cellStyle name="Normal 3 2 4 2" xfId="619" xr:uid="{00000000-0005-0000-0000-000078020000}"/>
    <cellStyle name="Normal 3 2 4 2 2" xfId="620" xr:uid="{00000000-0005-0000-0000-000079020000}"/>
    <cellStyle name="Normal 3 2 4 2 2 2" xfId="621" xr:uid="{00000000-0005-0000-0000-00007A020000}"/>
    <cellStyle name="Normal 3 2 4 2 3" xfId="622" xr:uid="{00000000-0005-0000-0000-00007B020000}"/>
    <cellStyle name="Normal 3 2 4 3" xfId="623" xr:uid="{00000000-0005-0000-0000-00007C020000}"/>
    <cellStyle name="Normal 3 2 4 3 2" xfId="624" xr:uid="{00000000-0005-0000-0000-00007D020000}"/>
    <cellStyle name="Normal 3 2 4 4" xfId="625" xr:uid="{00000000-0005-0000-0000-00007E020000}"/>
    <cellStyle name="Normal 3 2 5" xfId="626" xr:uid="{00000000-0005-0000-0000-00007F020000}"/>
    <cellStyle name="Normal 3 2 5 2" xfId="627" xr:uid="{00000000-0005-0000-0000-000080020000}"/>
    <cellStyle name="Normal 3 2 5 2 2" xfId="628" xr:uid="{00000000-0005-0000-0000-000081020000}"/>
    <cellStyle name="Normal 3 2 5 2 2 2" xfId="629" xr:uid="{00000000-0005-0000-0000-000082020000}"/>
    <cellStyle name="Normal 3 2 5 2 3" xfId="630" xr:uid="{00000000-0005-0000-0000-000083020000}"/>
    <cellStyle name="Normal 3 2 5 3" xfId="631" xr:uid="{00000000-0005-0000-0000-000084020000}"/>
    <cellStyle name="Normal 3 2 5 3 2" xfId="632" xr:uid="{00000000-0005-0000-0000-000085020000}"/>
    <cellStyle name="Normal 3 2 5 4" xfId="633" xr:uid="{00000000-0005-0000-0000-000086020000}"/>
    <cellStyle name="Normal 3 3" xfId="634" xr:uid="{00000000-0005-0000-0000-000087020000}"/>
    <cellStyle name="Normal 3 3 2" xfId="635" xr:uid="{00000000-0005-0000-0000-000088020000}"/>
    <cellStyle name="Normal 3 3 2 2" xfId="636" xr:uid="{00000000-0005-0000-0000-000089020000}"/>
    <cellStyle name="Normal 3 3 2 2 2" xfId="637" xr:uid="{00000000-0005-0000-0000-00008A020000}"/>
    <cellStyle name="Normal 3 3 2 2 2 2" xfId="638" xr:uid="{00000000-0005-0000-0000-00008B020000}"/>
    <cellStyle name="Normal 3 3 2 2 3" xfId="639" xr:uid="{00000000-0005-0000-0000-00008C020000}"/>
    <cellStyle name="Normal 3 3 2 3" xfId="640" xr:uid="{00000000-0005-0000-0000-00008D020000}"/>
    <cellStyle name="Normal 3 3 2 3 2" xfId="641" xr:uid="{00000000-0005-0000-0000-00008E020000}"/>
    <cellStyle name="Normal 3 3 2 4" xfId="642" xr:uid="{00000000-0005-0000-0000-00008F020000}"/>
    <cellStyle name="Normal 3 3 3" xfId="643" xr:uid="{00000000-0005-0000-0000-000090020000}"/>
    <cellStyle name="Normal 3 3 3 2" xfId="644" xr:uid="{00000000-0005-0000-0000-000091020000}"/>
    <cellStyle name="Normal 3 3 3 2 2" xfId="645" xr:uid="{00000000-0005-0000-0000-000092020000}"/>
    <cellStyle name="Normal 3 3 3 3" xfId="646" xr:uid="{00000000-0005-0000-0000-000093020000}"/>
    <cellStyle name="Normal 3 3 4" xfId="647" xr:uid="{00000000-0005-0000-0000-000094020000}"/>
    <cellStyle name="Normal 3 3 4 2" xfId="648" xr:uid="{00000000-0005-0000-0000-000095020000}"/>
    <cellStyle name="Normal 3 3 5" xfId="649" xr:uid="{00000000-0005-0000-0000-000096020000}"/>
    <cellStyle name="Normal 3 4" xfId="650" xr:uid="{00000000-0005-0000-0000-000097020000}"/>
    <cellStyle name="Normal 3 4 2" xfId="651" xr:uid="{00000000-0005-0000-0000-000098020000}"/>
    <cellStyle name="Normal 3 4 2 2" xfId="652" xr:uid="{00000000-0005-0000-0000-000099020000}"/>
    <cellStyle name="Normal 3 4 2 2 2" xfId="653" xr:uid="{00000000-0005-0000-0000-00009A020000}"/>
    <cellStyle name="Normal 3 4 2 3" xfId="654" xr:uid="{00000000-0005-0000-0000-00009B020000}"/>
    <cellStyle name="Normal 3 4 3" xfId="655" xr:uid="{00000000-0005-0000-0000-00009C020000}"/>
    <cellStyle name="Normal 3 4 3 2" xfId="656" xr:uid="{00000000-0005-0000-0000-00009D020000}"/>
    <cellStyle name="Normal 3 4 4" xfId="657" xr:uid="{00000000-0005-0000-0000-00009E020000}"/>
    <cellStyle name="Normal 3 5" xfId="658" xr:uid="{00000000-0005-0000-0000-00009F020000}"/>
    <cellStyle name="Normal 3 5 2" xfId="659" xr:uid="{00000000-0005-0000-0000-0000A0020000}"/>
    <cellStyle name="Normal 3 5 2 2" xfId="660" xr:uid="{00000000-0005-0000-0000-0000A1020000}"/>
    <cellStyle name="Normal 3 5 2 2 2" xfId="661" xr:uid="{00000000-0005-0000-0000-0000A2020000}"/>
    <cellStyle name="Normal 3 5 2 3" xfId="662" xr:uid="{00000000-0005-0000-0000-0000A3020000}"/>
    <cellStyle name="Normal 3 5 3" xfId="663" xr:uid="{00000000-0005-0000-0000-0000A4020000}"/>
    <cellStyle name="Normal 3 5 3 2" xfId="664" xr:uid="{00000000-0005-0000-0000-0000A5020000}"/>
    <cellStyle name="Normal 3 5 4" xfId="665" xr:uid="{00000000-0005-0000-0000-0000A6020000}"/>
    <cellStyle name="Normal 3 6" xfId="666" xr:uid="{00000000-0005-0000-0000-0000A7020000}"/>
    <cellStyle name="Normal 3 6 2" xfId="667" xr:uid="{00000000-0005-0000-0000-0000A8020000}"/>
    <cellStyle name="Normal 3 6 2 2" xfId="668" xr:uid="{00000000-0005-0000-0000-0000A9020000}"/>
    <cellStyle name="Normal 3 6 2 2 2" xfId="669" xr:uid="{00000000-0005-0000-0000-0000AA020000}"/>
    <cellStyle name="Normal 3 6 2 3" xfId="670" xr:uid="{00000000-0005-0000-0000-0000AB020000}"/>
    <cellStyle name="Normal 3 6 3" xfId="671" xr:uid="{00000000-0005-0000-0000-0000AC020000}"/>
    <cellStyle name="Normal 3 6 3 2" xfId="672" xr:uid="{00000000-0005-0000-0000-0000AD020000}"/>
    <cellStyle name="Normal 3 6 4" xfId="673" xr:uid="{00000000-0005-0000-0000-0000AE020000}"/>
    <cellStyle name="Normal 3 7" xfId="674" xr:uid="{00000000-0005-0000-0000-0000AF020000}"/>
    <cellStyle name="Normal 3 8" xfId="675" xr:uid="{00000000-0005-0000-0000-0000B0020000}"/>
    <cellStyle name="Normal 3 9" xfId="676" xr:uid="{00000000-0005-0000-0000-0000B1020000}"/>
    <cellStyle name="Normal 3_Current Payroll" xfId="677" xr:uid="{00000000-0005-0000-0000-0000B2020000}"/>
    <cellStyle name="Normal 30" xfId="678" xr:uid="{00000000-0005-0000-0000-0000B3020000}"/>
    <cellStyle name="Normal 30 2" xfId="679" xr:uid="{00000000-0005-0000-0000-0000B4020000}"/>
    <cellStyle name="Normal 30 2 2" xfId="680" xr:uid="{00000000-0005-0000-0000-0000B5020000}"/>
    <cellStyle name="Normal 30 3" xfId="681" xr:uid="{00000000-0005-0000-0000-0000B6020000}"/>
    <cellStyle name="Normal 31" xfId="682" xr:uid="{00000000-0005-0000-0000-0000B7020000}"/>
    <cellStyle name="Normal 31 2" xfId="683" xr:uid="{00000000-0005-0000-0000-0000B8020000}"/>
    <cellStyle name="Normal 31 2 2" xfId="684" xr:uid="{00000000-0005-0000-0000-0000B9020000}"/>
    <cellStyle name="Normal 31 3" xfId="685" xr:uid="{00000000-0005-0000-0000-0000BA020000}"/>
    <cellStyle name="Normal 32" xfId="686" xr:uid="{00000000-0005-0000-0000-0000BB020000}"/>
    <cellStyle name="Normal 32 2" xfId="687" xr:uid="{00000000-0005-0000-0000-0000BC020000}"/>
    <cellStyle name="Normal 32 2 2" xfId="688" xr:uid="{00000000-0005-0000-0000-0000BD020000}"/>
    <cellStyle name="Normal 32 3" xfId="689" xr:uid="{00000000-0005-0000-0000-0000BE020000}"/>
    <cellStyle name="Normal 33" xfId="690" xr:uid="{00000000-0005-0000-0000-0000BF020000}"/>
    <cellStyle name="Normal 33 2" xfId="691" xr:uid="{00000000-0005-0000-0000-0000C0020000}"/>
    <cellStyle name="Normal 33 2 2" xfId="692" xr:uid="{00000000-0005-0000-0000-0000C1020000}"/>
    <cellStyle name="Normal 33 3" xfId="693" xr:uid="{00000000-0005-0000-0000-0000C2020000}"/>
    <cellStyle name="Normal 34" xfId="694" xr:uid="{00000000-0005-0000-0000-0000C3020000}"/>
    <cellStyle name="Normal 34 2" xfId="695" xr:uid="{00000000-0005-0000-0000-0000C4020000}"/>
    <cellStyle name="Normal 35" xfId="696" xr:uid="{00000000-0005-0000-0000-0000C5020000}"/>
    <cellStyle name="Normal 36" xfId="697" xr:uid="{00000000-0005-0000-0000-0000C6020000}"/>
    <cellStyle name="Normal 37" xfId="698" xr:uid="{00000000-0005-0000-0000-0000C7020000}"/>
    <cellStyle name="Normal 38" xfId="699" xr:uid="{00000000-0005-0000-0000-0000C8020000}"/>
    <cellStyle name="Normal 39" xfId="700" xr:uid="{00000000-0005-0000-0000-0000C9020000}"/>
    <cellStyle name="Normal 4" xfId="701" xr:uid="{00000000-0005-0000-0000-0000CA020000}"/>
    <cellStyle name="Normal 4 10" xfId="702" xr:uid="{00000000-0005-0000-0000-0000CB020000}"/>
    <cellStyle name="Normal 4 11" xfId="703" xr:uid="{00000000-0005-0000-0000-0000CC020000}"/>
    <cellStyle name="Normal 4 12" xfId="1312" xr:uid="{D1C8318F-AD38-4222-BFF4-16F3D4BBB100}"/>
    <cellStyle name="Normal 4 2" xfId="704" xr:uid="{00000000-0005-0000-0000-0000CD020000}"/>
    <cellStyle name="Normal 4 2 2" xfId="705" xr:uid="{00000000-0005-0000-0000-0000CE020000}"/>
    <cellStyle name="Normal 4 2 2 2" xfId="706" xr:uid="{00000000-0005-0000-0000-0000CF020000}"/>
    <cellStyle name="Normal 4 2 2 2 2" xfId="707" xr:uid="{00000000-0005-0000-0000-0000D0020000}"/>
    <cellStyle name="Normal 4 2 2 2 2 2" xfId="708" xr:uid="{00000000-0005-0000-0000-0000D1020000}"/>
    <cellStyle name="Normal 4 2 2 2 2 2 2" xfId="709" xr:uid="{00000000-0005-0000-0000-0000D2020000}"/>
    <cellStyle name="Normal 4 2 2 2 2 3" xfId="710" xr:uid="{00000000-0005-0000-0000-0000D3020000}"/>
    <cellStyle name="Normal 4 2 2 2 3" xfId="711" xr:uid="{00000000-0005-0000-0000-0000D4020000}"/>
    <cellStyle name="Normal 4 2 2 2 3 2" xfId="712" xr:uid="{00000000-0005-0000-0000-0000D5020000}"/>
    <cellStyle name="Normal 4 2 2 2 4" xfId="713" xr:uid="{00000000-0005-0000-0000-0000D6020000}"/>
    <cellStyle name="Normal 4 2 2 3" xfId="714" xr:uid="{00000000-0005-0000-0000-0000D7020000}"/>
    <cellStyle name="Normal 4 2 2 3 2" xfId="715" xr:uid="{00000000-0005-0000-0000-0000D8020000}"/>
    <cellStyle name="Normal 4 2 2 3 2 2" xfId="716" xr:uid="{00000000-0005-0000-0000-0000D9020000}"/>
    <cellStyle name="Normal 4 2 2 3 3" xfId="717" xr:uid="{00000000-0005-0000-0000-0000DA020000}"/>
    <cellStyle name="Normal 4 2 2 4" xfId="718" xr:uid="{00000000-0005-0000-0000-0000DB020000}"/>
    <cellStyle name="Normal 4 2 2 4 2" xfId="719" xr:uid="{00000000-0005-0000-0000-0000DC020000}"/>
    <cellStyle name="Normal 4 2 2 5" xfId="720" xr:uid="{00000000-0005-0000-0000-0000DD020000}"/>
    <cellStyle name="Normal 4 2 3" xfId="721" xr:uid="{00000000-0005-0000-0000-0000DE020000}"/>
    <cellStyle name="Normal 4 2 3 2" xfId="722" xr:uid="{00000000-0005-0000-0000-0000DF020000}"/>
    <cellStyle name="Normal 4 2 3 2 2" xfId="723" xr:uid="{00000000-0005-0000-0000-0000E0020000}"/>
    <cellStyle name="Normal 4 2 3 2 2 2" xfId="724" xr:uid="{00000000-0005-0000-0000-0000E1020000}"/>
    <cellStyle name="Normal 4 2 3 2 3" xfId="725" xr:uid="{00000000-0005-0000-0000-0000E2020000}"/>
    <cellStyle name="Normal 4 2 3 3" xfId="726" xr:uid="{00000000-0005-0000-0000-0000E3020000}"/>
    <cellStyle name="Normal 4 2 3 3 2" xfId="727" xr:uid="{00000000-0005-0000-0000-0000E4020000}"/>
    <cellStyle name="Normal 4 2 3 4" xfId="728" xr:uid="{00000000-0005-0000-0000-0000E5020000}"/>
    <cellStyle name="Normal 4 2 4" xfId="729" xr:uid="{00000000-0005-0000-0000-0000E6020000}"/>
    <cellStyle name="Normal 4 2 4 2" xfId="730" xr:uid="{00000000-0005-0000-0000-0000E7020000}"/>
    <cellStyle name="Normal 4 2 4 2 2" xfId="731" xr:uid="{00000000-0005-0000-0000-0000E8020000}"/>
    <cellStyle name="Normal 4 2 4 2 2 2" xfId="732" xr:uid="{00000000-0005-0000-0000-0000E9020000}"/>
    <cellStyle name="Normal 4 2 4 2 3" xfId="733" xr:uid="{00000000-0005-0000-0000-0000EA020000}"/>
    <cellStyle name="Normal 4 2 4 3" xfId="734" xr:uid="{00000000-0005-0000-0000-0000EB020000}"/>
    <cellStyle name="Normal 4 2 4 3 2" xfId="735" xr:uid="{00000000-0005-0000-0000-0000EC020000}"/>
    <cellStyle name="Normal 4 2 4 4" xfId="736" xr:uid="{00000000-0005-0000-0000-0000ED020000}"/>
    <cellStyle name="Normal 4 2 5" xfId="737" xr:uid="{00000000-0005-0000-0000-0000EE020000}"/>
    <cellStyle name="Normal 4 2 5 2" xfId="738" xr:uid="{00000000-0005-0000-0000-0000EF020000}"/>
    <cellStyle name="Normal 4 2 5 2 2" xfId="739" xr:uid="{00000000-0005-0000-0000-0000F0020000}"/>
    <cellStyle name="Normal 4 2 5 2 2 2" xfId="740" xr:uid="{00000000-0005-0000-0000-0000F1020000}"/>
    <cellStyle name="Normal 4 2 5 2 3" xfId="741" xr:uid="{00000000-0005-0000-0000-0000F2020000}"/>
    <cellStyle name="Normal 4 2 5 3" xfId="742" xr:uid="{00000000-0005-0000-0000-0000F3020000}"/>
    <cellStyle name="Normal 4 2 5 3 2" xfId="743" xr:uid="{00000000-0005-0000-0000-0000F4020000}"/>
    <cellStyle name="Normal 4 2 5 4" xfId="744" xr:uid="{00000000-0005-0000-0000-0000F5020000}"/>
    <cellStyle name="Normal 4 2 6" xfId="745" xr:uid="{00000000-0005-0000-0000-0000F6020000}"/>
    <cellStyle name="Normal 4 2 6 2" xfId="746" xr:uid="{00000000-0005-0000-0000-0000F7020000}"/>
    <cellStyle name="Normal 4 2 6 2 2" xfId="747" xr:uid="{00000000-0005-0000-0000-0000F8020000}"/>
    <cellStyle name="Normal 4 2 6 3" xfId="748" xr:uid="{00000000-0005-0000-0000-0000F9020000}"/>
    <cellStyle name="Normal 4 2 7" xfId="749" xr:uid="{00000000-0005-0000-0000-0000FA020000}"/>
    <cellStyle name="Normal 4 2 7 2" xfId="750" xr:uid="{00000000-0005-0000-0000-0000FB020000}"/>
    <cellStyle name="Normal 4 2 8" xfId="751" xr:uid="{00000000-0005-0000-0000-0000FC020000}"/>
    <cellStyle name="Normal 4 3" xfId="752" xr:uid="{00000000-0005-0000-0000-0000FD020000}"/>
    <cellStyle name="Normal 4 3 2" xfId="753" xr:uid="{00000000-0005-0000-0000-0000FE020000}"/>
    <cellStyle name="Normal 4 3 2 2" xfId="754" xr:uid="{00000000-0005-0000-0000-0000FF020000}"/>
    <cellStyle name="Normal 4 3 2 2 2" xfId="755" xr:uid="{00000000-0005-0000-0000-000000030000}"/>
    <cellStyle name="Normal 4 3 2 2 2 2" xfId="756" xr:uid="{00000000-0005-0000-0000-000001030000}"/>
    <cellStyle name="Normal 4 3 2 2 3" xfId="757" xr:uid="{00000000-0005-0000-0000-000002030000}"/>
    <cellStyle name="Normal 4 3 2 3" xfId="758" xr:uid="{00000000-0005-0000-0000-000003030000}"/>
    <cellStyle name="Normal 4 3 2 3 2" xfId="759" xr:uid="{00000000-0005-0000-0000-000004030000}"/>
    <cellStyle name="Normal 4 3 2 4" xfId="760" xr:uid="{00000000-0005-0000-0000-000005030000}"/>
    <cellStyle name="Normal 4 3 3" xfId="761" xr:uid="{00000000-0005-0000-0000-000006030000}"/>
    <cellStyle name="Normal 4 3 3 2" xfId="762" xr:uid="{00000000-0005-0000-0000-000007030000}"/>
    <cellStyle name="Normal 4 3 3 2 2" xfId="763" xr:uid="{00000000-0005-0000-0000-000008030000}"/>
    <cellStyle name="Normal 4 3 3 2 2 2" xfId="764" xr:uid="{00000000-0005-0000-0000-000009030000}"/>
    <cellStyle name="Normal 4 3 3 2 3" xfId="765" xr:uid="{00000000-0005-0000-0000-00000A030000}"/>
    <cellStyle name="Normal 4 3 3 3" xfId="766" xr:uid="{00000000-0005-0000-0000-00000B030000}"/>
    <cellStyle name="Normal 4 3 3 3 2" xfId="767" xr:uid="{00000000-0005-0000-0000-00000C030000}"/>
    <cellStyle name="Normal 4 3 3 4" xfId="768" xr:uid="{00000000-0005-0000-0000-00000D030000}"/>
    <cellStyle name="Normal 4 3 4" xfId="769" xr:uid="{00000000-0005-0000-0000-00000E030000}"/>
    <cellStyle name="Normal 4 3 4 2" xfId="770" xr:uid="{00000000-0005-0000-0000-00000F030000}"/>
    <cellStyle name="Normal 4 3 4 2 2" xfId="771" xr:uid="{00000000-0005-0000-0000-000010030000}"/>
    <cellStyle name="Normal 4 3 4 3" xfId="772" xr:uid="{00000000-0005-0000-0000-000011030000}"/>
    <cellStyle name="Normal 4 3 5" xfId="773" xr:uid="{00000000-0005-0000-0000-000012030000}"/>
    <cellStyle name="Normal 4 3 5 2" xfId="774" xr:uid="{00000000-0005-0000-0000-000013030000}"/>
    <cellStyle name="Normal 4 3 6" xfId="775" xr:uid="{00000000-0005-0000-0000-000014030000}"/>
    <cellStyle name="Normal 4 4" xfId="776" xr:uid="{00000000-0005-0000-0000-000015030000}"/>
    <cellStyle name="Normal 4 4 2" xfId="777" xr:uid="{00000000-0005-0000-0000-000016030000}"/>
    <cellStyle name="Normal 4 4 2 2" xfId="778" xr:uid="{00000000-0005-0000-0000-000017030000}"/>
    <cellStyle name="Normal 4 4 2 2 2" xfId="779" xr:uid="{00000000-0005-0000-0000-000018030000}"/>
    <cellStyle name="Normal 4 4 2 2 2 2" xfId="780" xr:uid="{00000000-0005-0000-0000-000019030000}"/>
    <cellStyle name="Normal 4 4 2 2 3" xfId="781" xr:uid="{00000000-0005-0000-0000-00001A030000}"/>
    <cellStyle name="Normal 4 4 2 3" xfId="782" xr:uid="{00000000-0005-0000-0000-00001B030000}"/>
    <cellStyle name="Normal 4 4 2 3 2" xfId="783" xr:uid="{00000000-0005-0000-0000-00001C030000}"/>
    <cellStyle name="Normal 4 4 2 4" xfId="784" xr:uid="{00000000-0005-0000-0000-00001D030000}"/>
    <cellStyle name="Normal 4 4 3" xfId="785" xr:uid="{00000000-0005-0000-0000-00001E030000}"/>
    <cellStyle name="Normal 4 4 3 2" xfId="786" xr:uid="{00000000-0005-0000-0000-00001F030000}"/>
    <cellStyle name="Normal 4 4 3 2 2" xfId="787" xr:uid="{00000000-0005-0000-0000-000020030000}"/>
    <cellStyle name="Normal 4 4 3 3" xfId="788" xr:uid="{00000000-0005-0000-0000-000021030000}"/>
    <cellStyle name="Normal 4 4 4" xfId="789" xr:uid="{00000000-0005-0000-0000-000022030000}"/>
    <cellStyle name="Normal 4 4 4 2" xfId="790" xr:uid="{00000000-0005-0000-0000-000023030000}"/>
    <cellStyle name="Normal 4 4 5" xfId="791" xr:uid="{00000000-0005-0000-0000-000024030000}"/>
    <cellStyle name="Normal 4 5" xfId="792" xr:uid="{00000000-0005-0000-0000-000025030000}"/>
    <cellStyle name="Normal 4 5 2" xfId="793" xr:uid="{00000000-0005-0000-0000-000026030000}"/>
    <cellStyle name="Normal 4 5 2 2" xfId="794" xr:uid="{00000000-0005-0000-0000-000027030000}"/>
    <cellStyle name="Normal 4 5 2 2 2" xfId="795" xr:uid="{00000000-0005-0000-0000-000028030000}"/>
    <cellStyle name="Normal 4 5 2 2 2 2" xfId="796" xr:uid="{00000000-0005-0000-0000-000029030000}"/>
    <cellStyle name="Normal 4 5 2 2 3" xfId="797" xr:uid="{00000000-0005-0000-0000-00002A030000}"/>
    <cellStyle name="Normal 4 5 2 3" xfId="798" xr:uid="{00000000-0005-0000-0000-00002B030000}"/>
    <cellStyle name="Normal 4 5 2 3 2" xfId="799" xr:uid="{00000000-0005-0000-0000-00002C030000}"/>
    <cellStyle name="Normal 4 5 2 4" xfId="800" xr:uid="{00000000-0005-0000-0000-00002D030000}"/>
    <cellStyle name="Normal 4 5 3" xfId="801" xr:uid="{00000000-0005-0000-0000-00002E030000}"/>
    <cellStyle name="Normal 4 5 3 2" xfId="802" xr:uid="{00000000-0005-0000-0000-00002F030000}"/>
    <cellStyle name="Normal 4 5 3 2 2" xfId="803" xr:uid="{00000000-0005-0000-0000-000030030000}"/>
    <cellStyle name="Normal 4 5 3 3" xfId="804" xr:uid="{00000000-0005-0000-0000-000031030000}"/>
    <cellStyle name="Normal 4 5 4" xfId="805" xr:uid="{00000000-0005-0000-0000-000032030000}"/>
    <cellStyle name="Normal 4 5 4 2" xfId="806" xr:uid="{00000000-0005-0000-0000-000033030000}"/>
    <cellStyle name="Normal 4 5 5" xfId="807" xr:uid="{00000000-0005-0000-0000-000034030000}"/>
    <cellStyle name="Normal 4 5 6" xfId="1313" xr:uid="{C04A0758-BFC2-4123-B0E0-16CBEA85E1FE}"/>
    <cellStyle name="Normal 4 6" xfId="808" xr:uid="{00000000-0005-0000-0000-000035030000}"/>
    <cellStyle name="Normal 4 7" xfId="809" xr:uid="{00000000-0005-0000-0000-000036030000}"/>
    <cellStyle name="Normal 4 7 2" xfId="810" xr:uid="{00000000-0005-0000-0000-000037030000}"/>
    <cellStyle name="Normal 4 7 2 2" xfId="811" xr:uid="{00000000-0005-0000-0000-000038030000}"/>
    <cellStyle name="Normal 4 7 2 2 2" xfId="812" xr:uid="{00000000-0005-0000-0000-000039030000}"/>
    <cellStyle name="Normal 4 7 2 3" xfId="813" xr:uid="{00000000-0005-0000-0000-00003A030000}"/>
    <cellStyle name="Normal 4 7 3" xfId="814" xr:uid="{00000000-0005-0000-0000-00003B030000}"/>
    <cellStyle name="Normal 4 7 3 2" xfId="815" xr:uid="{00000000-0005-0000-0000-00003C030000}"/>
    <cellStyle name="Normal 4 7 4" xfId="816" xr:uid="{00000000-0005-0000-0000-00003D030000}"/>
    <cellStyle name="Normal 4 8" xfId="817" xr:uid="{00000000-0005-0000-0000-00003E030000}"/>
    <cellStyle name="Normal 4 8 2" xfId="818" xr:uid="{00000000-0005-0000-0000-00003F030000}"/>
    <cellStyle name="Normal 4 8 2 2" xfId="819" xr:uid="{00000000-0005-0000-0000-000040030000}"/>
    <cellStyle name="Normal 4 8 3" xfId="820" xr:uid="{00000000-0005-0000-0000-000041030000}"/>
    <cellStyle name="Normal 4 9" xfId="821" xr:uid="{00000000-0005-0000-0000-000042030000}"/>
    <cellStyle name="Normal 4 9 2" xfId="822" xr:uid="{00000000-0005-0000-0000-000043030000}"/>
    <cellStyle name="Normal 4_Current Payroll" xfId="823" xr:uid="{00000000-0005-0000-0000-000044030000}"/>
    <cellStyle name="Normal 40" xfId="824" xr:uid="{00000000-0005-0000-0000-000045030000}"/>
    <cellStyle name="Normal 41" xfId="1262" xr:uid="{00000000-0005-0000-0000-000046030000}"/>
    <cellStyle name="Normal 42" xfId="1309" xr:uid="{00000000-0005-0000-0000-000047030000}"/>
    <cellStyle name="Normal 43" xfId="1314" xr:uid="{624C0D3E-FD06-4835-B390-F90D123A98D2}"/>
    <cellStyle name="Normal 5" xfId="825" xr:uid="{00000000-0005-0000-0000-000048030000}"/>
    <cellStyle name="Normal 5 10" xfId="826" xr:uid="{00000000-0005-0000-0000-000049030000}"/>
    <cellStyle name="Normal 5 10 2" xfId="827" xr:uid="{00000000-0005-0000-0000-00004A030000}"/>
    <cellStyle name="Normal 5 11" xfId="828" xr:uid="{00000000-0005-0000-0000-00004B030000}"/>
    <cellStyle name="Normal 5 12" xfId="829" xr:uid="{00000000-0005-0000-0000-00004C030000}"/>
    <cellStyle name="Normal 5 13" xfId="830" xr:uid="{00000000-0005-0000-0000-00004D030000}"/>
    <cellStyle name="Normal 5 14" xfId="1311" xr:uid="{00000000-0005-0000-0000-00004E030000}"/>
    <cellStyle name="Normal 5 2" xfId="831" xr:uid="{00000000-0005-0000-0000-00004F030000}"/>
    <cellStyle name="Normal 5 2 2" xfId="832" xr:uid="{00000000-0005-0000-0000-000050030000}"/>
    <cellStyle name="Normal 5 2 2 2" xfId="833" xr:uid="{00000000-0005-0000-0000-000051030000}"/>
    <cellStyle name="Normal 5 2 2 2 2" xfId="834" xr:uid="{00000000-0005-0000-0000-000052030000}"/>
    <cellStyle name="Normal 5 2 2 2 2 2" xfId="835" xr:uid="{00000000-0005-0000-0000-000053030000}"/>
    <cellStyle name="Normal 5 2 2 2 2 2 2" xfId="836" xr:uid="{00000000-0005-0000-0000-000054030000}"/>
    <cellStyle name="Normal 5 2 2 2 2 3" xfId="837" xr:uid="{00000000-0005-0000-0000-000055030000}"/>
    <cellStyle name="Normal 5 2 2 2 3" xfId="838" xr:uid="{00000000-0005-0000-0000-000056030000}"/>
    <cellStyle name="Normal 5 2 2 2 3 2" xfId="839" xr:uid="{00000000-0005-0000-0000-000057030000}"/>
    <cellStyle name="Normal 5 2 2 2 4" xfId="840" xr:uid="{00000000-0005-0000-0000-000058030000}"/>
    <cellStyle name="Normal 5 2 2 3" xfId="841" xr:uid="{00000000-0005-0000-0000-000059030000}"/>
    <cellStyle name="Normal 5 2 2 3 2" xfId="842" xr:uid="{00000000-0005-0000-0000-00005A030000}"/>
    <cellStyle name="Normal 5 2 2 3 2 2" xfId="843" xr:uid="{00000000-0005-0000-0000-00005B030000}"/>
    <cellStyle name="Normal 5 2 2 3 3" xfId="844" xr:uid="{00000000-0005-0000-0000-00005C030000}"/>
    <cellStyle name="Normal 5 2 2 4" xfId="845" xr:uid="{00000000-0005-0000-0000-00005D030000}"/>
    <cellStyle name="Normal 5 2 2 4 2" xfId="846" xr:uid="{00000000-0005-0000-0000-00005E030000}"/>
    <cellStyle name="Normal 5 2 2 5" xfId="847" xr:uid="{00000000-0005-0000-0000-00005F030000}"/>
    <cellStyle name="Normal 5 2 3" xfId="848" xr:uid="{00000000-0005-0000-0000-000060030000}"/>
    <cellStyle name="Normal 5 2 3 2" xfId="849" xr:uid="{00000000-0005-0000-0000-000061030000}"/>
    <cellStyle name="Normal 5 2 3 2 2" xfId="850" xr:uid="{00000000-0005-0000-0000-000062030000}"/>
    <cellStyle name="Normal 5 2 3 2 2 2" xfId="851" xr:uid="{00000000-0005-0000-0000-000063030000}"/>
    <cellStyle name="Normal 5 2 3 2 3" xfId="852" xr:uid="{00000000-0005-0000-0000-000064030000}"/>
    <cellStyle name="Normal 5 2 3 3" xfId="853" xr:uid="{00000000-0005-0000-0000-000065030000}"/>
    <cellStyle name="Normal 5 2 3 3 2" xfId="854" xr:uid="{00000000-0005-0000-0000-000066030000}"/>
    <cellStyle name="Normal 5 2 3 4" xfId="855" xr:uid="{00000000-0005-0000-0000-000067030000}"/>
    <cellStyle name="Normal 5 2 4" xfId="856" xr:uid="{00000000-0005-0000-0000-000068030000}"/>
    <cellStyle name="Normal 5 2 4 2" xfId="857" xr:uid="{00000000-0005-0000-0000-000069030000}"/>
    <cellStyle name="Normal 5 2 4 2 2" xfId="858" xr:uid="{00000000-0005-0000-0000-00006A030000}"/>
    <cellStyle name="Normal 5 2 4 2 2 2" xfId="859" xr:uid="{00000000-0005-0000-0000-00006B030000}"/>
    <cellStyle name="Normal 5 2 4 2 3" xfId="860" xr:uid="{00000000-0005-0000-0000-00006C030000}"/>
    <cellStyle name="Normal 5 2 4 3" xfId="861" xr:uid="{00000000-0005-0000-0000-00006D030000}"/>
    <cellStyle name="Normal 5 2 4 3 2" xfId="862" xr:uid="{00000000-0005-0000-0000-00006E030000}"/>
    <cellStyle name="Normal 5 2 4 4" xfId="863" xr:uid="{00000000-0005-0000-0000-00006F030000}"/>
    <cellStyle name="Normal 5 2 5" xfId="864" xr:uid="{00000000-0005-0000-0000-000070030000}"/>
    <cellStyle name="Normal 5 2 5 2" xfId="865" xr:uid="{00000000-0005-0000-0000-000071030000}"/>
    <cellStyle name="Normal 5 2 5 2 2" xfId="866" xr:uid="{00000000-0005-0000-0000-000072030000}"/>
    <cellStyle name="Normal 5 2 5 2 2 2" xfId="867" xr:uid="{00000000-0005-0000-0000-000073030000}"/>
    <cellStyle name="Normal 5 2 5 2 3" xfId="868" xr:uid="{00000000-0005-0000-0000-000074030000}"/>
    <cellStyle name="Normal 5 2 5 3" xfId="869" xr:uid="{00000000-0005-0000-0000-000075030000}"/>
    <cellStyle name="Normal 5 2 5 3 2" xfId="870" xr:uid="{00000000-0005-0000-0000-000076030000}"/>
    <cellStyle name="Normal 5 2 5 4" xfId="871" xr:uid="{00000000-0005-0000-0000-000077030000}"/>
    <cellStyle name="Normal 5 2 6" xfId="872" xr:uid="{00000000-0005-0000-0000-000078030000}"/>
    <cellStyle name="Normal 5 2 6 2" xfId="873" xr:uid="{00000000-0005-0000-0000-000079030000}"/>
    <cellStyle name="Normal 5 2 6 2 2" xfId="874" xr:uid="{00000000-0005-0000-0000-00007A030000}"/>
    <cellStyle name="Normal 5 2 6 3" xfId="875" xr:uid="{00000000-0005-0000-0000-00007B030000}"/>
    <cellStyle name="Normal 5 2 7" xfId="876" xr:uid="{00000000-0005-0000-0000-00007C030000}"/>
    <cellStyle name="Normal 5 2 7 2" xfId="877" xr:uid="{00000000-0005-0000-0000-00007D030000}"/>
    <cellStyle name="Normal 5 2 8" xfId="878" xr:uid="{00000000-0005-0000-0000-00007E030000}"/>
    <cellStyle name="Normal 5 3" xfId="879" xr:uid="{00000000-0005-0000-0000-00007F030000}"/>
    <cellStyle name="Normal 5 3 2" xfId="880" xr:uid="{00000000-0005-0000-0000-000080030000}"/>
    <cellStyle name="Normal 5 3 2 2" xfId="881" xr:uid="{00000000-0005-0000-0000-000081030000}"/>
    <cellStyle name="Normal 5 3 2 2 2" xfId="882" xr:uid="{00000000-0005-0000-0000-000082030000}"/>
    <cellStyle name="Normal 5 3 2 2 2 2" xfId="883" xr:uid="{00000000-0005-0000-0000-000083030000}"/>
    <cellStyle name="Normal 5 3 2 2 3" xfId="884" xr:uid="{00000000-0005-0000-0000-000084030000}"/>
    <cellStyle name="Normal 5 3 2 3" xfId="885" xr:uid="{00000000-0005-0000-0000-000085030000}"/>
    <cellStyle name="Normal 5 3 2 3 2" xfId="886" xr:uid="{00000000-0005-0000-0000-000086030000}"/>
    <cellStyle name="Normal 5 3 2 4" xfId="887" xr:uid="{00000000-0005-0000-0000-000087030000}"/>
    <cellStyle name="Normal 5 3 3" xfId="888" xr:uid="{00000000-0005-0000-0000-000088030000}"/>
    <cellStyle name="Normal 5 3 3 2" xfId="889" xr:uid="{00000000-0005-0000-0000-000089030000}"/>
    <cellStyle name="Normal 5 3 3 2 2" xfId="890" xr:uid="{00000000-0005-0000-0000-00008A030000}"/>
    <cellStyle name="Normal 5 3 3 2 2 2" xfId="891" xr:uid="{00000000-0005-0000-0000-00008B030000}"/>
    <cellStyle name="Normal 5 3 3 2 3" xfId="892" xr:uid="{00000000-0005-0000-0000-00008C030000}"/>
    <cellStyle name="Normal 5 3 3 3" xfId="893" xr:uid="{00000000-0005-0000-0000-00008D030000}"/>
    <cellStyle name="Normal 5 3 3 3 2" xfId="894" xr:uid="{00000000-0005-0000-0000-00008E030000}"/>
    <cellStyle name="Normal 5 3 3 4" xfId="895" xr:uid="{00000000-0005-0000-0000-00008F030000}"/>
    <cellStyle name="Normal 5 3 4" xfId="896" xr:uid="{00000000-0005-0000-0000-000090030000}"/>
    <cellStyle name="Normal 5 3 4 2" xfId="897" xr:uid="{00000000-0005-0000-0000-000091030000}"/>
    <cellStyle name="Normal 5 3 4 2 2" xfId="898" xr:uid="{00000000-0005-0000-0000-000092030000}"/>
    <cellStyle name="Normal 5 3 4 3" xfId="899" xr:uid="{00000000-0005-0000-0000-000093030000}"/>
    <cellStyle name="Normal 5 3 5" xfId="900" xr:uid="{00000000-0005-0000-0000-000094030000}"/>
    <cellStyle name="Normal 5 3 5 2" xfId="901" xr:uid="{00000000-0005-0000-0000-000095030000}"/>
    <cellStyle name="Normal 5 3 6" xfId="902" xr:uid="{00000000-0005-0000-0000-000096030000}"/>
    <cellStyle name="Normal 5 4" xfId="903" xr:uid="{00000000-0005-0000-0000-000097030000}"/>
    <cellStyle name="Normal 5 4 2" xfId="904" xr:uid="{00000000-0005-0000-0000-000098030000}"/>
    <cellStyle name="Normal 5 4 2 2" xfId="905" xr:uid="{00000000-0005-0000-0000-000099030000}"/>
    <cellStyle name="Normal 5 4 2 2 2" xfId="906" xr:uid="{00000000-0005-0000-0000-00009A030000}"/>
    <cellStyle name="Normal 5 4 2 2 2 2" xfId="907" xr:uid="{00000000-0005-0000-0000-00009B030000}"/>
    <cellStyle name="Normal 5 4 2 2 3" xfId="908" xr:uid="{00000000-0005-0000-0000-00009C030000}"/>
    <cellStyle name="Normal 5 4 2 3" xfId="909" xr:uid="{00000000-0005-0000-0000-00009D030000}"/>
    <cellStyle name="Normal 5 4 2 3 2" xfId="910" xr:uid="{00000000-0005-0000-0000-00009E030000}"/>
    <cellStyle name="Normal 5 4 2 4" xfId="911" xr:uid="{00000000-0005-0000-0000-00009F030000}"/>
    <cellStyle name="Normal 5 4 3" xfId="912" xr:uid="{00000000-0005-0000-0000-0000A0030000}"/>
    <cellStyle name="Normal 5 4 3 2" xfId="913" xr:uid="{00000000-0005-0000-0000-0000A1030000}"/>
    <cellStyle name="Normal 5 4 3 2 2" xfId="914" xr:uid="{00000000-0005-0000-0000-0000A2030000}"/>
    <cellStyle name="Normal 5 4 3 3" xfId="915" xr:uid="{00000000-0005-0000-0000-0000A3030000}"/>
    <cellStyle name="Normal 5 4 4" xfId="916" xr:uid="{00000000-0005-0000-0000-0000A4030000}"/>
    <cellStyle name="Normal 5 4 4 2" xfId="917" xr:uid="{00000000-0005-0000-0000-0000A5030000}"/>
    <cellStyle name="Normal 5 4 5" xfId="918" xr:uid="{00000000-0005-0000-0000-0000A6030000}"/>
    <cellStyle name="Normal 5 4 7" xfId="1246" xr:uid="{00000000-0005-0000-0000-0000A7030000}"/>
    <cellStyle name="Normal 5 5" xfId="919" xr:uid="{00000000-0005-0000-0000-0000A8030000}"/>
    <cellStyle name="Normal 5 5 2" xfId="920" xr:uid="{00000000-0005-0000-0000-0000A9030000}"/>
    <cellStyle name="Normal 5 5 2 2" xfId="921" xr:uid="{00000000-0005-0000-0000-0000AA030000}"/>
    <cellStyle name="Normal 5 5 2 2 2" xfId="922" xr:uid="{00000000-0005-0000-0000-0000AB030000}"/>
    <cellStyle name="Normal 5 5 2 2 2 2" xfId="923" xr:uid="{00000000-0005-0000-0000-0000AC030000}"/>
    <cellStyle name="Normal 5 5 2 2 3" xfId="924" xr:uid="{00000000-0005-0000-0000-0000AD030000}"/>
    <cellStyle name="Normal 5 5 2 3" xfId="925" xr:uid="{00000000-0005-0000-0000-0000AE030000}"/>
    <cellStyle name="Normal 5 5 2 3 2" xfId="926" xr:uid="{00000000-0005-0000-0000-0000AF030000}"/>
    <cellStyle name="Normal 5 5 2 4" xfId="927" xr:uid="{00000000-0005-0000-0000-0000B0030000}"/>
    <cellStyle name="Normal 5 5 3" xfId="928" xr:uid="{00000000-0005-0000-0000-0000B1030000}"/>
    <cellStyle name="Normal 5 5 3 2" xfId="929" xr:uid="{00000000-0005-0000-0000-0000B2030000}"/>
    <cellStyle name="Normal 5 5 3 2 2" xfId="930" xr:uid="{00000000-0005-0000-0000-0000B3030000}"/>
    <cellStyle name="Normal 5 5 3 3" xfId="931" xr:uid="{00000000-0005-0000-0000-0000B4030000}"/>
    <cellStyle name="Normal 5 5 4" xfId="932" xr:uid="{00000000-0005-0000-0000-0000B5030000}"/>
    <cellStyle name="Normal 5 5 4 2" xfId="933" xr:uid="{00000000-0005-0000-0000-0000B6030000}"/>
    <cellStyle name="Normal 5 5 5" xfId="934" xr:uid="{00000000-0005-0000-0000-0000B7030000}"/>
    <cellStyle name="Normal 5 6" xfId="935" xr:uid="{00000000-0005-0000-0000-0000B8030000}"/>
    <cellStyle name="Normal 5 6 2" xfId="936" xr:uid="{00000000-0005-0000-0000-0000B9030000}"/>
    <cellStyle name="Normal 5 6 2 2" xfId="937" xr:uid="{00000000-0005-0000-0000-0000BA030000}"/>
    <cellStyle name="Normal 5 6 2 2 2" xfId="938" xr:uid="{00000000-0005-0000-0000-0000BB030000}"/>
    <cellStyle name="Normal 5 6 2 3" xfId="939" xr:uid="{00000000-0005-0000-0000-0000BC030000}"/>
    <cellStyle name="Normal 5 6 3" xfId="940" xr:uid="{00000000-0005-0000-0000-0000BD030000}"/>
    <cellStyle name="Normal 5 6 3 2" xfId="941" xr:uid="{00000000-0005-0000-0000-0000BE030000}"/>
    <cellStyle name="Normal 5 6 4" xfId="942" xr:uid="{00000000-0005-0000-0000-0000BF030000}"/>
    <cellStyle name="Normal 5 7" xfId="943" xr:uid="{00000000-0005-0000-0000-0000C0030000}"/>
    <cellStyle name="Normal 5 8" xfId="944" xr:uid="{00000000-0005-0000-0000-0000C1030000}"/>
    <cellStyle name="Normal 5 8 2" xfId="945" xr:uid="{00000000-0005-0000-0000-0000C2030000}"/>
    <cellStyle name="Normal 5 8 2 2" xfId="946" xr:uid="{00000000-0005-0000-0000-0000C3030000}"/>
    <cellStyle name="Normal 5 8 2 2 2" xfId="947" xr:uid="{00000000-0005-0000-0000-0000C4030000}"/>
    <cellStyle name="Normal 5 8 2 3" xfId="948" xr:uid="{00000000-0005-0000-0000-0000C5030000}"/>
    <cellStyle name="Normal 5 8 3" xfId="949" xr:uid="{00000000-0005-0000-0000-0000C6030000}"/>
    <cellStyle name="Normal 5 8 3 2" xfId="950" xr:uid="{00000000-0005-0000-0000-0000C7030000}"/>
    <cellStyle name="Normal 5 8 4" xfId="951" xr:uid="{00000000-0005-0000-0000-0000C8030000}"/>
    <cellStyle name="Normal 5 9" xfId="952" xr:uid="{00000000-0005-0000-0000-0000C9030000}"/>
    <cellStyle name="Normal 5 9 2" xfId="953" xr:uid="{00000000-0005-0000-0000-0000CA030000}"/>
    <cellStyle name="Normal 5 9 2 2" xfId="954" xr:uid="{00000000-0005-0000-0000-0000CB030000}"/>
    <cellStyle name="Normal 5 9 3" xfId="955" xr:uid="{00000000-0005-0000-0000-0000CC030000}"/>
    <cellStyle name="Normal 5_Current Payroll" xfId="956" xr:uid="{00000000-0005-0000-0000-0000CD030000}"/>
    <cellStyle name="Normal 6" xfId="957" xr:uid="{00000000-0005-0000-0000-0000CE030000}"/>
    <cellStyle name="Normal 6 10" xfId="958" xr:uid="{00000000-0005-0000-0000-0000CF030000}"/>
    <cellStyle name="Normal 6 11" xfId="1310" xr:uid="{00000000-0005-0000-0000-0000D0030000}"/>
    <cellStyle name="Normal 6 2" xfId="959" xr:uid="{00000000-0005-0000-0000-0000D1030000}"/>
    <cellStyle name="Normal 6 2 2" xfId="960" xr:uid="{00000000-0005-0000-0000-0000D2030000}"/>
    <cellStyle name="Normal 6 2 2 2" xfId="961" xr:uid="{00000000-0005-0000-0000-0000D3030000}"/>
    <cellStyle name="Normal 6 2 2 2 2" xfId="962" xr:uid="{00000000-0005-0000-0000-0000D4030000}"/>
    <cellStyle name="Normal 6 2 2 2 2 2" xfId="963" xr:uid="{00000000-0005-0000-0000-0000D5030000}"/>
    <cellStyle name="Normal 6 2 2 2 2 2 2" xfId="964" xr:uid="{00000000-0005-0000-0000-0000D6030000}"/>
    <cellStyle name="Normal 6 2 2 2 2 3" xfId="965" xr:uid="{00000000-0005-0000-0000-0000D7030000}"/>
    <cellStyle name="Normal 6 2 2 2 3" xfId="966" xr:uid="{00000000-0005-0000-0000-0000D8030000}"/>
    <cellStyle name="Normal 6 2 2 2 3 2" xfId="967" xr:uid="{00000000-0005-0000-0000-0000D9030000}"/>
    <cellStyle name="Normal 6 2 2 2 4" xfId="968" xr:uid="{00000000-0005-0000-0000-0000DA030000}"/>
    <cellStyle name="Normal 6 2 2 3" xfId="969" xr:uid="{00000000-0005-0000-0000-0000DB030000}"/>
    <cellStyle name="Normal 6 2 2 3 2" xfId="970" xr:uid="{00000000-0005-0000-0000-0000DC030000}"/>
    <cellStyle name="Normal 6 2 2 3 2 2" xfId="971" xr:uid="{00000000-0005-0000-0000-0000DD030000}"/>
    <cellStyle name="Normal 6 2 2 3 3" xfId="972" xr:uid="{00000000-0005-0000-0000-0000DE030000}"/>
    <cellStyle name="Normal 6 2 2 4" xfId="973" xr:uid="{00000000-0005-0000-0000-0000DF030000}"/>
    <cellStyle name="Normal 6 2 2 4 2" xfId="974" xr:uid="{00000000-0005-0000-0000-0000E0030000}"/>
    <cellStyle name="Normal 6 2 2 5" xfId="975" xr:uid="{00000000-0005-0000-0000-0000E1030000}"/>
    <cellStyle name="Normal 6 2 3" xfId="976" xr:uid="{00000000-0005-0000-0000-0000E2030000}"/>
    <cellStyle name="Normal 6 2 3 2" xfId="977" xr:uid="{00000000-0005-0000-0000-0000E3030000}"/>
    <cellStyle name="Normal 6 2 3 2 2" xfId="978" xr:uid="{00000000-0005-0000-0000-0000E4030000}"/>
    <cellStyle name="Normal 6 2 3 2 2 2" xfId="979" xr:uid="{00000000-0005-0000-0000-0000E5030000}"/>
    <cellStyle name="Normal 6 2 3 2 3" xfId="980" xr:uid="{00000000-0005-0000-0000-0000E6030000}"/>
    <cellStyle name="Normal 6 2 3 3" xfId="981" xr:uid="{00000000-0005-0000-0000-0000E7030000}"/>
    <cellStyle name="Normal 6 2 3 3 2" xfId="982" xr:uid="{00000000-0005-0000-0000-0000E8030000}"/>
    <cellStyle name="Normal 6 2 3 4" xfId="983" xr:uid="{00000000-0005-0000-0000-0000E9030000}"/>
    <cellStyle name="Normal 6 2 4" xfId="984" xr:uid="{00000000-0005-0000-0000-0000EA030000}"/>
    <cellStyle name="Normal 6 2 4 2" xfId="985" xr:uid="{00000000-0005-0000-0000-0000EB030000}"/>
    <cellStyle name="Normal 6 2 4 2 2" xfId="986" xr:uid="{00000000-0005-0000-0000-0000EC030000}"/>
    <cellStyle name="Normal 6 2 4 2 2 2" xfId="987" xr:uid="{00000000-0005-0000-0000-0000ED030000}"/>
    <cellStyle name="Normal 6 2 4 2 3" xfId="988" xr:uid="{00000000-0005-0000-0000-0000EE030000}"/>
    <cellStyle name="Normal 6 2 4 3" xfId="989" xr:uid="{00000000-0005-0000-0000-0000EF030000}"/>
    <cellStyle name="Normal 6 2 4 3 2" xfId="990" xr:uid="{00000000-0005-0000-0000-0000F0030000}"/>
    <cellStyle name="Normal 6 2 4 4" xfId="991" xr:uid="{00000000-0005-0000-0000-0000F1030000}"/>
    <cellStyle name="Normal 6 2 5" xfId="992" xr:uid="{00000000-0005-0000-0000-0000F2030000}"/>
    <cellStyle name="Normal 6 2 5 2" xfId="993" xr:uid="{00000000-0005-0000-0000-0000F3030000}"/>
    <cellStyle name="Normal 6 2 5 2 2" xfId="994" xr:uid="{00000000-0005-0000-0000-0000F4030000}"/>
    <cellStyle name="Normal 6 2 5 2 2 2" xfId="995" xr:uid="{00000000-0005-0000-0000-0000F5030000}"/>
    <cellStyle name="Normal 6 2 5 2 3" xfId="996" xr:uid="{00000000-0005-0000-0000-0000F6030000}"/>
    <cellStyle name="Normal 6 2 5 3" xfId="997" xr:uid="{00000000-0005-0000-0000-0000F7030000}"/>
    <cellStyle name="Normal 6 2 5 3 2" xfId="998" xr:uid="{00000000-0005-0000-0000-0000F8030000}"/>
    <cellStyle name="Normal 6 2 5 4" xfId="999" xr:uid="{00000000-0005-0000-0000-0000F9030000}"/>
    <cellStyle name="Normal 6 2 6" xfId="1000" xr:uid="{00000000-0005-0000-0000-0000FA030000}"/>
    <cellStyle name="Normal 6 2 6 2" xfId="1001" xr:uid="{00000000-0005-0000-0000-0000FB030000}"/>
    <cellStyle name="Normal 6 2 6 2 2" xfId="1002" xr:uid="{00000000-0005-0000-0000-0000FC030000}"/>
    <cellStyle name="Normal 6 2 6 3" xfId="1003" xr:uid="{00000000-0005-0000-0000-0000FD030000}"/>
    <cellStyle name="Normal 6 2 7" xfId="1004" xr:uid="{00000000-0005-0000-0000-0000FE030000}"/>
    <cellStyle name="Normal 6 2 7 2" xfId="1005" xr:uid="{00000000-0005-0000-0000-0000FF030000}"/>
    <cellStyle name="Normal 6 2 8" xfId="1006" xr:uid="{00000000-0005-0000-0000-000000040000}"/>
    <cellStyle name="Normal 6 2 9" xfId="1007" xr:uid="{00000000-0005-0000-0000-000001040000}"/>
    <cellStyle name="Normal 6 3" xfId="1008" xr:uid="{00000000-0005-0000-0000-000002040000}"/>
    <cellStyle name="Normal 6 3 2" xfId="1009" xr:uid="{00000000-0005-0000-0000-000003040000}"/>
    <cellStyle name="Normal 6 3 2 2" xfId="1010" xr:uid="{00000000-0005-0000-0000-000004040000}"/>
    <cellStyle name="Normal 6 3 2 2 2" xfId="1011" xr:uid="{00000000-0005-0000-0000-000005040000}"/>
    <cellStyle name="Normal 6 3 2 2 2 2" xfId="1012" xr:uid="{00000000-0005-0000-0000-000006040000}"/>
    <cellStyle name="Normal 6 3 2 2 3" xfId="1013" xr:uid="{00000000-0005-0000-0000-000007040000}"/>
    <cellStyle name="Normal 6 3 2 3" xfId="1014" xr:uid="{00000000-0005-0000-0000-000008040000}"/>
    <cellStyle name="Normal 6 3 2 3 2" xfId="1015" xr:uid="{00000000-0005-0000-0000-000009040000}"/>
    <cellStyle name="Normal 6 3 2 4" xfId="1016" xr:uid="{00000000-0005-0000-0000-00000A040000}"/>
    <cellStyle name="Normal 6 3 3" xfId="1017" xr:uid="{00000000-0005-0000-0000-00000B040000}"/>
    <cellStyle name="Normal 6 3 3 2" xfId="1018" xr:uid="{00000000-0005-0000-0000-00000C040000}"/>
    <cellStyle name="Normal 6 3 3 2 2" xfId="1019" xr:uid="{00000000-0005-0000-0000-00000D040000}"/>
    <cellStyle name="Normal 6 3 3 2 2 2" xfId="1020" xr:uid="{00000000-0005-0000-0000-00000E040000}"/>
    <cellStyle name="Normal 6 3 3 2 3" xfId="1021" xr:uid="{00000000-0005-0000-0000-00000F040000}"/>
    <cellStyle name="Normal 6 3 3 3" xfId="1022" xr:uid="{00000000-0005-0000-0000-000010040000}"/>
    <cellStyle name="Normal 6 3 3 3 2" xfId="1023" xr:uid="{00000000-0005-0000-0000-000011040000}"/>
    <cellStyle name="Normal 6 3 3 4" xfId="1024" xr:uid="{00000000-0005-0000-0000-000012040000}"/>
    <cellStyle name="Normal 6 4" xfId="1025" xr:uid="{00000000-0005-0000-0000-000013040000}"/>
    <cellStyle name="Normal 6 4 2" xfId="1026" xr:uid="{00000000-0005-0000-0000-000014040000}"/>
    <cellStyle name="Normal 6 4 2 2" xfId="1027" xr:uid="{00000000-0005-0000-0000-000015040000}"/>
    <cellStyle name="Normal 6 4 2 2 2" xfId="1028" xr:uid="{00000000-0005-0000-0000-000016040000}"/>
    <cellStyle name="Normal 6 4 2 2 2 2" xfId="1029" xr:uid="{00000000-0005-0000-0000-000017040000}"/>
    <cellStyle name="Normal 6 4 2 2 3" xfId="1030" xr:uid="{00000000-0005-0000-0000-000018040000}"/>
    <cellStyle name="Normal 6 4 2 3" xfId="1031" xr:uid="{00000000-0005-0000-0000-000019040000}"/>
    <cellStyle name="Normal 6 4 2 3 2" xfId="1032" xr:uid="{00000000-0005-0000-0000-00001A040000}"/>
    <cellStyle name="Normal 6 4 2 4" xfId="1033" xr:uid="{00000000-0005-0000-0000-00001B040000}"/>
    <cellStyle name="Normal 6 5" xfId="1034" xr:uid="{00000000-0005-0000-0000-00001C040000}"/>
    <cellStyle name="Normal 6 5 2" xfId="1035" xr:uid="{00000000-0005-0000-0000-00001D040000}"/>
    <cellStyle name="Normal 6 5 2 2" xfId="1036" xr:uid="{00000000-0005-0000-0000-00001E040000}"/>
    <cellStyle name="Normal 6 5 2 2 2" xfId="1037" xr:uid="{00000000-0005-0000-0000-00001F040000}"/>
    <cellStyle name="Normal 6 5 2 3" xfId="1038" xr:uid="{00000000-0005-0000-0000-000020040000}"/>
    <cellStyle name="Normal 6 5 3" xfId="1039" xr:uid="{00000000-0005-0000-0000-000021040000}"/>
    <cellStyle name="Normal 6 5 3 2" xfId="1040" xr:uid="{00000000-0005-0000-0000-000022040000}"/>
    <cellStyle name="Normal 6 5 4" xfId="1041" xr:uid="{00000000-0005-0000-0000-000023040000}"/>
    <cellStyle name="Normal 6 6" xfId="1042" xr:uid="{00000000-0005-0000-0000-000024040000}"/>
    <cellStyle name="Normal 6 6 2" xfId="1043" xr:uid="{00000000-0005-0000-0000-000025040000}"/>
    <cellStyle name="Normal 6 6 2 2" xfId="1044" xr:uid="{00000000-0005-0000-0000-000026040000}"/>
    <cellStyle name="Normal 6 6 2 2 2" xfId="1045" xr:uid="{00000000-0005-0000-0000-000027040000}"/>
    <cellStyle name="Normal 6 6 2 3" xfId="1046" xr:uid="{00000000-0005-0000-0000-000028040000}"/>
    <cellStyle name="Normal 6 6 3" xfId="1047" xr:uid="{00000000-0005-0000-0000-000029040000}"/>
    <cellStyle name="Normal 6 6 3 2" xfId="1048" xr:uid="{00000000-0005-0000-0000-00002A040000}"/>
    <cellStyle name="Normal 6 6 4" xfId="1049" xr:uid="{00000000-0005-0000-0000-00002B040000}"/>
    <cellStyle name="Normal 6 7" xfId="1050" xr:uid="{00000000-0005-0000-0000-00002C040000}"/>
    <cellStyle name="Normal 6 7 2" xfId="1051" xr:uid="{00000000-0005-0000-0000-00002D040000}"/>
    <cellStyle name="Normal 6 7 2 2" xfId="1052" xr:uid="{00000000-0005-0000-0000-00002E040000}"/>
    <cellStyle name="Normal 6 7 3" xfId="1053" xr:uid="{00000000-0005-0000-0000-00002F040000}"/>
    <cellStyle name="Normal 6 8" xfId="1054" xr:uid="{00000000-0005-0000-0000-000030040000}"/>
    <cellStyle name="Normal 6 8 2" xfId="1055" xr:uid="{00000000-0005-0000-0000-000031040000}"/>
    <cellStyle name="Normal 6 9" xfId="1056" xr:uid="{00000000-0005-0000-0000-000032040000}"/>
    <cellStyle name="Normal 6_Current Payroll" xfId="1057" xr:uid="{00000000-0005-0000-0000-000033040000}"/>
    <cellStyle name="Normal 7" xfId="1058" xr:uid="{00000000-0005-0000-0000-000034040000}"/>
    <cellStyle name="Normal 7 2" xfId="1059" xr:uid="{00000000-0005-0000-0000-000035040000}"/>
    <cellStyle name="Normal 7 2 2" xfId="1060" xr:uid="{00000000-0005-0000-0000-000036040000}"/>
    <cellStyle name="Normal 7 2 2 2" xfId="1061" xr:uid="{00000000-0005-0000-0000-000037040000}"/>
    <cellStyle name="Normal 7 2 2 2 2" xfId="1062" xr:uid="{00000000-0005-0000-0000-000038040000}"/>
    <cellStyle name="Normal 7 2 2 2 2 2" xfId="1063" xr:uid="{00000000-0005-0000-0000-000039040000}"/>
    <cellStyle name="Normal 7 2 2 2 3" xfId="1064" xr:uid="{00000000-0005-0000-0000-00003A040000}"/>
    <cellStyle name="Normal 7 2 2 3" xfId="1065" xr:uid="{00000000-0005-0000-0000-00003B040000}"/>
    <cellStyle name="Normal 7 2 2 3 2" xfId="1066" xr:uid="{00000000-0005-0000-0000-00003C040000}"/>
    <cellStyle name="Normal 7 2 2 4" xfId="1067" xr:uid="{00000000-0005-0000-0000-00003D040000}"/>
    <cellStyle name="Normal 7 2 3" xfId="1068" xr:uid="{00000000-0005-0000-0000-00003E040000}"/>
    <cellStyle name="Normal 7 2 3 2" xfId="1069" xr:uid="{00000000-0005-0000-0000-00003F040000}"/>
    <cellStyle name="Normal 7 2 3 2 2" xfId="1070" xr:uid="{00000000-0005-0000-0000-000040040000}"/>
    <cellStyle name="Normal 7 2 3 2 2 2" xfId="1071" xr:uid="{00000000-0005-0000-0000-000041040000}"/>
    <cellStyle name="Normal 7 2 3 2 3" xfId="1072" xr:uid="{00000000-0005-0000-0000-000042040000}"/>
    <cellStyle name="Normal 7 2 3 3" xfId="1073" xr:uid="{00000000-0005-0000-0000-000043040000}"/>
    <cellStyle name="Normal 7 2 3 3 2" xfId="1074" xr:uid="{00000000-0005-0000-0000-000044040000}"/>
    <cellStyle name="Normal 7 2 3 4" xfId="1075" xr:uid="{00000000-0005-0000-0000-000045040000}"/>
    <cellStyle name="Normal 7 3" xfId="1076" xr:uid="{00000000-0005-0000-0000-000046040000}"/>
    <cellStyle name="Normal 7 3 2" xfId="1077" xr:uid="{00000000-0005-0000-0000-000047040000}"/>
    <cellStyle name="Normal 7 3 2 2" xfId="1078" xr:uid="{00000000-0005-0000-0000-000048040000}"/>
    <cellStyle name="Normal 7 3 2 2 2" xfId="1079" xr:uid="{00000000-0005-0000-0000-000049040000}"/>
    <cellStyle name="Normal 7 3 2 2 2 2" xfId="1080" xr:uid="{00000000-0005-0000-0000-00004A040000}"/>
    <cellStyle name="Normal 7 3 2 2 3" xfId="1081" xr:uid="{00000000-0005-0000-0000-00004B040000}"/>
    <cellStyle name="Normal 7 3 2 3" xfId="1082" xr:uid="{00000000-0005-0000-0000-00004C040000}"/>
    <cellStyle name="Normal 7 3 2 3 2" xfId="1083" xr:uid="{00000000-0005-0000-0000-00004D040000}"/>
    <cellStyle name="Normal 7 3 2 4" xfId="1084" xr:uid="{00000000-0005-0000-0000-00004E040000}"/>
    <cellStyle name="Normal 7 4" xfId="1085" xr:uid="{00000000-0005-0000-0000-00004F040000}"/>
    <cellStyle name="Normal 7 4 2" xfId="1086" xr:uid="{00000000-0005-0000-0000-000050040000}"/>
    <cellStyle name="Normal 7 4 2 2" xfId="1087" xr:uid="{00000000-0005-0000-0000-000051040000}"/>
    <cellStyle name="Normal 7 4 2 2 2" xfId="1088" xr:uid="{00000000-0005-0000-0000-000052040000}"/>
    <cellStyle name="Normal 7 4 2 3" xfId="1089" xr:uid="{00000000-0005-0000-0000-000053040000}"/>
    <cellStyle name="Normal 7 4 3" xfId="1090" xr:uid="{00000000-0005-0000-0000-000054040000}"/>
    <cellStyle name="Normal 7 4 3 2" xfId="1091" xr:uid="{00000000-0005-0000-0000-000055040000}"/>
    <cellStyle name="Normal 7 4 4" xfId="1092" xr:uid="{00000000-0005-0000-0000-000056040000}"/>
    <cellStyle name="Normal 7 5" xfId="1093" xr:uid="{00000000-0005-0000-0000-000057040000}"/>
    <cellStyle name="Normal 7 5 2" xfId="1094" xr:uid="{00000000-0005-0000-0000-000058040000}"/>
    <cellStyle name="Normal 7 5 2 2" xfId="1095" xr:uid="{00000000-0005-0000-0000-000059040000}"/>
    <cellStyle name="Normal 7 5 2 2 2" xfId="1096" xr:uid="{00000000-0005-0000-0000-00005A040000}"/>
    <cellStyle name="Normal 7 5 2 3" xfId="1097" xr:uid="{00000000-0005-0000-0000-00005B040000}"/>
    <cellStyle name="Normal 7 5 3" xfId="1098" xr:uid="{00000000-0005-0000-0000-00005C040000}"/>
    <cellStyle name="Normal 7 5 3 2" xfId="1099" xr:uid="{00000000-0005-0000-0000-00005D040000}"/>
    <cellStyle name="Normal 7 5 4" xfId="1100" xr:uid="{00000000-0005-0000-0000-00005E040000}"/>
    <cellStyle name="Normal 7 6" xfId="1101" xr:uid="{00000000-0005-0000-0000-00005F040000}"/>
    <cellStyle name="Normal 8" xfId="1102" xr:uid="{00000000-0005-0000-0000-000060040000}"/>
    <cellStyle name="Normal 8 2" xfId="1103" xr:uid="{00000000-0005-0000-0000-000061040000}"/>
    <cellStyle name="Normal 8 2 2" xfId="1104" xr:uid="{00000000-0005-0000-0000-000062040000}"/>
    <cellStyle name="Normal 8 2 2 2" xfId="1105" xr:uid="{00000000-0005-0000-0000-000063040000}"/>
    <cellStyle name="Normal 8 2 2 2 2" xfId="1106" xr:uid="{00000000-0005-0000-0000-000064040000}"/>
    <cellStyle name="Normal 8 2 2 2 2 2" xfId="1107" xr:uid="{00000000-0005-0000-0000-000065040000}"/>
    <cellStyle name="Normal 8 2 2 2 3" xfId="1108" xr:uid="{00000000-0005-0000-0000-000066040000}"/>
    <cellStyle name="Normal 8 2 2 3" xfId="1109" xr:uid="{00000000-0005-0000-0000-000067040000}"/>
    <cellStyle name="Normal 8 2 2 3 2" xfId="1110" xr:uid="{00000000-0005-0000-0000-000068040000}"/>
    <cellStyle name="Normal 8 2 2 4" xfId="1111" xr:uid="{00000000-0005-0000-0000-000069040000}"/>
    <cellStyle name="Normal 8 2 3" xfId="1112" xr:uid="{00000000-0005-0000-0000-00006A040000}"/>
    <cellStyle name="Normal 8 2 3 2" xfId="1113" xr:uid="{00000000-0005-0000-0000-00006B040000}"/>
    <cellStyle name="Normal 8 2 3 2 2" xfId="1114" xr:uid="{00000000-0005-0000-0000-00006C040000}"/>
    <cellStyle name="Normal 8 2 3 2 2 2" xfId="1115" xr:uid="{00000000-0005-0000-0000-00006D040000}"/>
    <cellStyle name="Normal 8 2 3 2 3" xfId="1116" xr:uid="{00000000-0005-0000-0000-00006E040000}"/>
    <cellStyle name="Normal 8 2 3 3" xfId="1117" xr:uid="{00000000-0005-0000-0000-00006F040000}"/>
    <cellStyle name="Normal 8 2 3 3 2" xfId="1118" xr:uid="{00000000-0005-0000-0000-000070040000}"/>
    <cellStyle name="Normal 8 2 3 4" xfId="1119" xr:uid="{00000000-0005-0000-0000-000071040000}"/>
    <cellStyle name="Normal 8 2 4" xfId="1120" xr:uid="{00000000-0005-0000-0000-000072040000}"/>
    <cellStyle name="Normal 8 2 4 2" xfId="1121" xr:uid="{00000000-0005-0000-0000-000073040000}"/>
    <cellStyle name="Normal 8 2 4 2 2" xfId="1122" xr:uid="{00000000-0005-0000-0000-000074040000}"/>
    <cellStyle name="Normal 8 2 4 3" xfId="1123" xr:uid="{00000000-0005-0000-0000-000075040000}"/>
    <cellStyle name="Normal 8 2 5" xfId="1124" xr:uid="{00000000-0005-0000-0000-000076040000}"/>
    <cellStyle name="Normal 8 2 5 2" xfId="1125" xr:uid="{00000000-0005-0000-0000-000077040000}"/>
    <cellStyle name="Normal 8 2 6" xfId="1126" xr:uid="{00000000-0005-0000-0000-000078040000}"/>
    <cellStyle name="Normal 8 3" xfId="1127" xr:uid="{00000000-0005-0000-0000-000079040000}"/>
    <cellStyle name="Normal 8 3 2" xfId="1128" xr:uid="{00000000-0005-0000-0000-00007A040000}"/>
    <cellStyle name="Normal 8 3 2 2" xfId="1129" xr:uid="{00000000-0005-0000-0000-00007B040000}"/>
    <cellStyle name="Normal 8 3 2 2 2" xfId="1130" xr:uid="{00000000-0005-0000-0000-00007C040000}"/>
    <cellStyle name="Normal 8 3 2 2 2 2" xfId="1131" xr:uid="{00000000-0005-0000-0000-00007D040000}"/>
    <cellStyle name="Normal 8 3 2 2 3" xfId="1132" xr:uid="{00000000-0005-0000-0000-00007E040000}"/>
    <cellStyle name="Normal 8 3 2 3" xfId="1133" xr:uid="{00000000-0005-0000-0000-00007F040000}"/>
    <cellStyle name="Normal 8 3 2 3 2" xfId="1134" xr:uid="{00000000-0005-0000-0000-000080040000}"/>
    <cellStyle name="Normal 8 3 2 4" xfId="1135" xr:uid="{00000000-0005-0000-0000-000081040000}"/>
    <cellStyle name="Normal 8 3 3" xfId="1136" xr:uid="{00000000-0005-0000-0000-000082040000}"/>
    <cellStyle name="Normal 8 3 3 2" xfId="1137" xr:uid="{00000000-0005-0000-0000-000083040000}"/>
    <cellStyle name="Normal 8 3 3 2 2" xfId="1138" xr:uid="{00000000-0005-0000-0000-000084040000}"/>
    <cellStyle name="Normal 8 3 3 3" xfId="1139" xr:uid="{00000000-0005-0000-0000-000085040000}"/>
    <cellStyle name="Normal 8 3 4" xfId="1140" xr:uid="{00000000-0005-0000-0000-000086040000}"/>
    <cellStyle name="Normal 8 3 4 2" xfId="1141" xr:uid="{00000000-0005-0000-0000-000087040000}"/>
    <cellStyle name="Normal 8 3 5" xfId="1142" xr:uid="{00000000-0005-0000-0000-000088040000}"/>
    <cellStyle name="Normal 8 4" xfId="1143" xr:uid="{00000000-0005-0000-0000-000089040000}"/>
    <cellStyle name="Normal 8 4 2" xfId="1144" xr:uid="{00000000-0005-0000-0000-00008A040000}"/>
    <cellStyle name="Normal 8 4 2 2" xfId="1145" xr:uid="{00000000-0005-0000-0000-00008B040000}"/>
    <cellStyle name="Normal 8 4 2 2 2" xfId="1146" xr:uid="{00000000-0005-0000-0000-00008C040000}"/>
    <cellStyle name="Normal 8 4 2 3" xfId="1147" xr:uid="{00000000-0005-0000-0000-00008D040000}"/>
    <cellStyle name="Normal 8 4 3" xfId="1148" xr:uid="{00000000-0005-0000-0000-00008E040000}"/>
    <cellStyle name="Normal 8 4 3 2" xfId="1149" xr:uid="{00000000-0005-0000-0000-00008F040000}"/>
    <cellStyle name="Normal 8 4 4" xfId="1150" xr:uid="{00000000-0005-0000-0000-000090040000}"/>
    <cellStyle name="Normal 8 5" xfId="1151" xr:uid="{00000000-0005-0000-0000-000091040000}"/>
    <cellStyle name="Normal 8 5 2" xfId="1152" xr:uid="{00000000-0005-0000-0000-000092040000}"/>
    <cellStyle name="Normal 8 5 2 2" xfId="1153" xr:uid="{00000000-0005-0000-0000-000093040000}"/>
    <cellStyle name="Normal 8 5 2 2 2" xfId="1154" xr:uid="{00000000-0005-0000-0000-000094040000}"/>
    <cellStyle name="Normal 8 5 2 3" xfId="1155" xr:uid="{00000000-0005-0000-0000-000095040000}"/>
    <cellStyle name="Normal 8 5 3" xfId="1156" xr:uid="{00000000-0005-0000-0000-000096040000}"/>
    <cellStyle name="Normal 8 5 3 2" xfId="1157" xr:uid="{00000000-0005-0000-0000-000097040000}"/>
    <cellStyle name="Normal 8 5 4" xfId="1158" xr:uid="{00000000-0005-0000-0000-000098040000}"/>
    <cellStyle name="Normal 8 6" xfId="1159" xr:uid="{00000000-0005-0000-0000-000099040000}"/>
    <cellStyle name="Normal 8 6 2" xfId="1160" xr:uid="{00000000-0005-0000-0000-00009A040000}"/>
    <cellStyle name="Normal 8 6 2 2" xfId="1161" xr:uid="{00000000-0005-0000-0000-00009B040000}"/>
    <cellStyle name="Normal 8 6 3" xfId="1162" xr:uid="{00000000-0005-0000-0000-00009C040000}"/>
    <cellStyle name="Normal 8 7" xfId="1163" xr:uid="{00000000-0005-0000-0000-00009D040000}"/>
    <cellStyle name="Normal 8 7 2" xfId="1164" xr:uid="{00000000-0005-0000-0000-00009E040000}"/>
    <cellStyle name="Normal 8 8" xfId="1165" xr:uid="{00000000-0005-0000-0000-00009F040000}"/>
    <cellStyle name="Normal 8_HH" xfId="1166" xr:uid="{00000000-0005-0000-0000-0000A0040000}"/>
    <cellStyle name="Normal 9" xfId="1167" xr:uid="{00000000-0005-0000-0000-0000A1040000}"/>
    <cellStyle name="Normal 9 2" xfId="1168" xr:uid="{00000000-0005-0000-0000-0000A2040000}"/>
    <cellStyle name="Normal 9 2 2" xfId="1169" xr:uid="{00000000-0005-0000-0000-0000A3040000}"/>
    <cellStyle name="Normal 9 2 3" xfId="1170" xr:uid="{00000000-0005-0000-0000-0000A4040000}"/>
    <cellStyle name="Normal 9 2 4" xfId="1263" xr:uid="{00000000-0005-0000-0000-0000A5040000}"/>
    <cellStyle name="Normal 9 3" xfId="1171" xr:uid="{00000000-0005-0000-0000-0000A6040000}"/>
    <cellStyle name="Normal 9 3 2" xfId="1172" xr:uid="{00000000-0005-0000-0000-0000A7040000}"/>
    <cellStyle name="Normal 9 3 2 2" xfId="1173" xr:uid="{00000000-0005-0000-0000-0000A8040000}"/>
    <cellStyle name="Normal 9 3 3" xfId="1174" xr:uid="{00000000-0005-0000-0000-0000A9040000}"/>
    <cellStyle name="Normal 9 4" xfId="1175" xr:uid="{00000000-0005-0000-0000-0000AA040000}"/>
    <cellStyle name="Normal 9 4 2" xfId="1176" xr:uid="{00000000-0005-0000-0000-0000AB040000}"/>
    <cellStyle name="Normal 9 5" xfId="1177" xr:uid="{00000000-0005-0000-0000-0000AC040000}"/>
    <cellStyle name="Note 2" xfId="1178" xr:uid="{00000000-0005-0000-0000-0000AD040000}"/>
    <cellStyle name="Note 2 2" xfId="1179" xr:uid="{00000000-0005-0000-0000-0000AE040000}"/>
    <cellStyle name="Note 2 3" xfId="1180" xr:uid="{00000000-0005-0000-0000-0000AF040000}"/>
    <cellStyle name="Note 2 4" xfId="1181" xr:uid="{00000000-0005-0000-0000-0000B0040000}"/>
    <cellStyle name="Note 3" xfId="1264" xr:uid="{00000000-0005-0000-0000-0000B1040000}"/>
    <cellStyle name="Output 2" xfId="1182" xr:uid="{00000000-0005-0000-0000-0000B2040000}"/>
    <cellStyle name="Output 2 2" xfId="1183" xr:uid="{00000000-0005-0000-0000-0000B3040000}"/>
    <cellStyle name="Output 2 2 2" xfId="1265" xr:uid="{00000000-0005-0000-0000-0000B4040000}"/>
    <cellStyle name="Output 2 3" xfId="1184" xr:uid="{00000000-0005-0000-0000-0000B5040000}"/>
    <cellStyle name="Parent row" xfId="1185" xr:uid="{00000000-0005-0000-0000-0000B6040000}"/>
    <cellStyle name="Percent" xfId="3" builtinId="5"/>
    <cellStyle name="Percent 10" xfId="1186" xr:uid="{00000000-0005-0000-0000-0000B8040000}"/>
    <cellStyle name="Percent 10 2" xfId="1187" xr:uid="{00000000-0005-0000-0000-0000B9040000}"/>
    <cellStyle name="Percent 10 2 2" xfId="1266" xr:uid="{00000000-0005-0000-0000-0000BA040000}"/>
    <cellStyle name="Percent 11" xfId="1188" xr:uid="{00000000-0005-0000-0000-0000BB040000}"/>
    <cellStyle name="Percent 12" xfId="1189" xr:uid="{00000000-0005-0000-0000-0000BC040000}"/>
    <cellStyle name="Percent 13" xfId="1267" xr:uid="{00000000-0005-0000-0000-0000BD040000}"/>
    <cellStyle name="Percent 14" xfId="1268" xr:uid="{00000000-0005-0000-0000-0000BE040000}"/>
    <cellStyle name="Percent 15" xfId="1247" xr:uid="{00000000-0005-0000-0000-0000BF040000}"/>
    <cellStyle name="Percent 16" xfId="1317" xr:uid="{7762041F-96DA-42DE-9711-52B62B79559F}"/>
    <cellStyle name="Percent 2" xfId="1190" xr:uid="{00000000-0005-0000-0000-0000C0040000}"/>
    <cellStyle name="Percent 2 2" xfId="1191" xr:uid="{00000000-0005-0000-0000-0000C1040000}"/>
    <cellStyle name="Percent 2 2 2" xfId="1192" xr:uid="{00000000-0005-0000-0000-0000C2040000}"/>
    <cellStyle name="Percent 2 2 3" xfId="1193" xr:uid="{00000000-0005-0000-0000-0000C3040000}"/>
    <cellStyle name="Percent 2 3" xfId="1194" xr:uid="{00000000-0005-0000-0000-0000C4040000}"/>
    <cellStyle name="Percent 2 4" xfId="1195" xr:uid="{00000000-0005-0000-0000-0000C5040000}"/>
    <cellStyle name="Percent 2 5" xfId="1196" xr:uid="{00000000-0005-0000-0000-0000C6040000}"/>
    <cellStyle name="Percent 2 6" xfId="1197" xr:uid="{00000000-0005-0000-0000-0000C7040000}"/>
    <cellStyle name="Percent 2 7" xfId="1316" xr:uid="{04A8E6A1-D3F3-4D8E-AA91-AF38AABA1655}"/>
    <cellStyle name="Percent 3" xfId="1198" xr:uid="{00000000-0005-0000-0000-0000C8040000}"/>
    <cellStyle name="Percent 3 2" xfId="1199" xr:uid="{00000000-0005-0000-0000-0000C9040000}"/>
    <cellStyle name="Percent 3 2 2" xfId="1200" xr:uid="{00000000-0005-0000-0000-0000CA040000}"/>
    <cellStyle name="Percent 3 2 3" xfId="1201" xr:uid="{00000000-0005-0000-0000-0000CB040000}"/>
    <cellStyle name="Percent 3 3" xfId="1202" xr:uid="{00000000-0005-0000-0000-0000CC040000}"/>
    <cellStyle name="Percent 4" xfId="1203" xr:uid="{00000000-0005-0000-0000-0000CD040000}"/>
    <cellStyle name="Percent 4 2" xfId="1204" xr:uid="{00000000-0005-0000-0000-0000CE040000}"/>
    <cellStyle name="Percent 4 2 2" xfId="1205" xr:uid="{00000000-0005-0000-0000-0000CF040000}"/>
    <cellStyle name="Percent 4 2 3" xfId="1206" xr:uid="{00000000-0005-0000-0000-0000D0040000}"/>
    <cellStyle name="Percent 4 3" xfId="1207" xr:uid="{00000000-0005-0000-0000-0000D1040000}"/>
    <cellStyle name="Percent 4 3 2" xfId="1208" xr:uid="{00000000-0005-0000-0000-0000D2040000}"/>
    <cellStyle name="Percent 4 3 2 2" xfId="1209" xr:uid="{00000000-0005-0000-0000-0000D3040000}"/>
    <cellStyle name="Percent 4 3 3" xfId="1210" xr:uid="{00000000-0005-0000-0000-0000D4040000}"/>
    <cellStyle name="Percent 4 4" xfId="1211" xr:uid="{00000000-0005-0000-0000-0000D5040000}"/>
    <cellStyle name="Percent 4 4 2" xfId="1212" xr:uid="{00000000-0005-0000-0000-0000D6040000}"/>
    <cellStyle name="Percent 4 5" xfId="1213" xr:uid="{00000000-0005-0000-0000-0000D7040000}"/>
    <cellStyle name="Percent 5" xfId="1214" xr:uid="{00000000-0005-0000-0000-0000D8040000}"/>
    <cellStyle name="Percent 5 2" xfId="1215" xr:uid="{00000000-0005-0000-0000-0000D9040000}"/>
    <cellStyle name="Percent 5 2 2" xfId="1216" xr:uid="{00000000-0005-0000-0000-0000DA040000}"/>
    <cellStyle name="Percent 5 3" xfId="1217" xr:uid="{00000000-0005-0000-0000-0000DB040000}"/>
    <cellStyle name="Percent 5 4" xfId="1218" xr:uid="{00000000-0005-0000-0000-0000DC040000}"/>
    <cellStyle name="Percent 5 5" xfId="1219" xr:uid="{00000000-0005-0000-0000-0000DD040000}"/>
    <cellStyle name="Percent 6" xfId="1220" xr:uid="{00000000-0005-0000-0000-0000DE040000}"/>
    <cellStyle name="Percent 6 2" xfId="1221" xr:uid="{00000000-0005-0000-0000-0000DF040000}"/>
    <cellStyle name="Percent 6 3" xfId="1222" xr:uid="{00000000-0005-0000-0000-0000E0040000}"/>
    <cellStyle name="Percent 6 4" xfId="1223" xr:uid="{00000000-0005-0000-0000-0000E1040000}"/>
    <cellStyle name="Percent 6 5" xfId="1269" xr:uid="{00000000-0005-0000-0000-0000E2040000}"/>
    <cellStyle name="Percent 7" xfId="1224" xr:uid="{00000000-0005-0000-0000-0000E3040000}"/>
    <cellStyle name="Percent 7 2" xfId="1225" xr:uid="{00000000-0005-0000-0000-0000E4040000}"/>
    <cellStyle name="Percent 7 3" xfId="1226" xr:uid="{00000000-0005-0000-0000-0000E5040000}"/>
    <cellStyle name="Percent 7 4" xfId="1227" xr:uid="{00000000-0005-0000-0000-0000E6040000}"/>
    <cellStyle name="Percent 8" xfId="1228" xr:uid="{00000000-0005-0000-0000-0000E7040000}"/>
    <cellStyle name="Percent 8 2" xfId="1229" xr:uid="{00000000-0005-0000-0000-0000E8040000}"/>
    <cellStyle name="Percent 8 3" xfId="1230" xr:uid="{00000000-0005-0000-0000-0000E9040000}"/>
    <cellStyle name="Percent 9" xfId="1231" xr:uid="{00000000-0005-0000-0000-0000EA040000}"/>
    <cellStyle name="Percent 9 2" xfId="1232" xr:uid="{00000000-0005-0000-0000-0000EB040000}"/>
    <cellStyle name="Style 1" xfId="1233" xr:uid="{00000000-0005-0000-0000-0000EC040000}"/>
    <cellStyle name="Style 2" xfId="1234" xr:uid="{00000000-0005-0000-0000-0000ED040000}"/>
    <cellStyle name="style1412367521747" xfId="1270" xr:uid="{00000000-0005-0000-0000-0000EE040000}"/>
    <cellStyle name="style1412367521816" xfId="1271" xr:uid="{00000000-0005-0000-0000-0000EF040000}"/>
    <cellStyle name="style1412367521850" xfId="1272" xr:uid="{00000000-0005-0000-0000-0000F0040000}"/>
    <cellStyle name="style1412367521877" xfId="1273" xr:uid="{00000000-0005-0000-0000-0000F1040000}"/>
    <cellStyle name="style1412367521910" xfId="1274" xr:uid="{00000000-0005-0000-0000-0000F2040000}"/>
    <cellStyle name="style1412367521944" xfId="1275" xr:uid="{00000000-0005-0000-0000-0000F3040000}"/>
    <cellStyle name="style1412367521979" xfId="1276" xr:uid="{00000000-0005-0000-0000-0000F4040000}"/>
    <cellStyle name="style1412367522072" xfId="1277" xr:uid="{00000000-0005-0000-0000-0000F5040000}"/>
    <cellStyle name="style1412367522107" xfId="1278" xr:uid="{00000000-0005-0000-0000-0000F6040000}"/>
    <cellStyle name="style1412367522140" xfId="1279" xr:uid="{00000000-0005-0000-0000-0000F7040000}"/>
    <cellStyle name="style1412367522172" xfId="1280" xr:uid="{00000000-0005-0000-0000-0000F8040000}"/>
    <cellStyle name="style1412367522207" xfId="1281" xr:uid="{00000000-0005-0000-0000-0000F9040000}"/>
    <cellStyle name="style1412367522235" xfId="1282" xr:uid="{00000000-0005-0000-0000-0000FA040000}"/>
    <cellStyle name="style1412367522263" xfId="1283" xr:uid="{00000000-0005-0000-0000-0000FB040000}"/>
    <cellStyle name="style1412367522302" xfId="1284" xr:uid="{00000000-0005-0000-0000-0000FC040000}"/>
    <cellStyle name="style1412367522334" xfId="1285" xr:uid="{00000000-0005-0000-0000-0000FD040000}"/>
    <cellStyle name="style1412367522366" xfId="1286" xr:uid="{00000000-0005-0000-0000-0000FE040000}"/>
    <cellStyle name="style1412367522397" xfId="1287" xr:uid="{00000000-0005-0000-0000-0000FF040000}"/>
    <cellStyle name="style1412367522428" xfId="1288" xr:uid="{00000000-0005-0000-0000-000000050000}"/>
    <cellStyle name="style1412367522464" xfId="1289" xr:uid="{00000000-0005-0000-0000-000001050000}"/>
    <cellStyle name="style1412367522488" xfId="1290" xr:uid="{00000000-0005-0000-0000-000002050000}"/>
    <cellStyle name="style1412367522518" xfId="1291" xr:uid="{00000000-0005-0000-0000-000003050000}"/>
    <cellStyle name="style1412367522550" xfId="1292" xr:uid="{00000000-0005-0000-0000-000004050000}"/>
    <cellStyle name="style1412367522582" xfId="1293" xr:uid="{00000000-0005-0000-0000-000005050000}"/>
    <cellStyle name="style1412367522613" xfId="1294" xr:uid="{00000000-0005-0000-0000-000006050000}"/>
    <cellStyle name="style1412367522645" xfId="1295" xr:uid="{00000000-0005-0000-0000-000007050000}"/>
    <cellStyle name="style1412367522675" xfId="1296" xr:uid="{00000000-0005-0000-0000-000008050000}"/>
    <cellStyle name="style1412367522712" xfId="1297" xr:uid="{00000000-0005-0000-0000-000009050000}"/>
    <cellStyle name="style1412367522742" xfId="1298" xr:uid="{00000000-0005-0000-0000-00000A050000}"/>
    <cellStyle name="style1412367522818" xfId="1299" xr:uid="{00000000-0005-0000-0000-00000B050000}"/>
    <cellStyle name="style1412367522847" xfId="1300" xr:uid="{00000000-0005-0000-0000-00000C050000}"/>
    <cellStyle name="style1449075138554" xfId="1301" xr:uid="{00000000-0005-0000-0000-00000D050000}"/>
    <cellStyle name="style1449093896679" xfId="1302" xr:uid="{00000000-0005-0000-0000-00000E050000}"/>
    <cellStyle name="style1449154375520" xfId="1303" xr:uid="{00000000-0005-0000-0000-00000F050000}"/>
    <cellStyle name="style1449154375621" xfId="1304" xr:uid="{00000000-0005-0000-0000-000010050000}"/>
    <cellStyle name="style1458750455301" xfId="1305" xr:uid="{00000000-0005-0000-0000-000011050000}"/>
    <cellStyle name="style1458750455333" xfId="1306" xr:uid="{00000000-0005-0000-0000-000012050000}"/>
    <cellStyle name="style1458750455397" xfId="1307" xr:uid="{00000000-0005-0000-0000-000013050000}"/>
    <cellStyle name="style1458750455428" xfId="1308" xr:uid="{00000000-0005-0000-0000-000014050000}"/>
    <cellStyle name="Table title" xfId="1235" xr:uid="{00000000-0005-0000-0000-000015050000}"/>
    <cellStyle name="Title 2" xfId="1236" xr:uid="{00000000-0005-0000-0000-000016050000}"/>
    <cellStyle name="Title 2 2" xfId="1237" xr:uid="{00000000-0005-0000-0000-000017050000}"/>
    <cellStyle name="Title 2 3" xfId="1238" xr:uid="{00000000-0005-0000-0000-000018050000}"/>
    <cellStyle name="Title 3" xfId="1239" xr:uid="{00000000-0005-0000-0000-000019050000}"/>
    <cellStyle name="Total 2" xfId="1240" xr:uid="{00000000-0005-0000-0000-00001A050000}"/>
    <cellStyle name="Total 2 2" xfId="1241" xr:uid="{00000000-0005-0000-0000-00001B050000}"/>
    <cellStyle name="Total 2 3" xfId="1242" xr:uid="{00000000-0005-0000-0000-00001C050000}"/>
    <cellStyle name="Warning Text 2" xfId="1243" xr:uid="{00000000-0005-0000-0000-00001D050000}"/>
    <cellStyle name="Warning Text 2 2" xfId="1244" xr:uid="{00000000-0005-0000-0000-00001E050000}"/>
    <cellStyle name="Warning Text 2 3" xfId="1245" xr:uid="{00000000-0005-0000-0000-00001F050000}"/>
  </cellStyles>
  <dxfs count="2">
    <dxf>
      <font>
        <color rgb="FFCC9900"/>
      </font>
      <fill>
        <patternFill>
          <fgColor indexed="64"/>
          <bgColor rgb="FFFFFF99"/>
        </patternFill>
      </fill>
    </dxf>
    <dxf>
      <font>
        <color rgb="FFCC9900"/>
      </font>
      <fill>
        <patternFill>
          <fgColor indexed="64"/>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8.xml"/><Relationship Id="rId42" Type="http://schemas.openxmlformats.org/officeDocument/2006/relationships/theme" Target="theme/theme1.xml"/><Relationship Id="rId47"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7.xml"/><Relationship Id="rId38" Type="http://schemas.openxmlformats.org/officeDocument/2006/relationships/externalLink" Target="externalLinks/externalLink12.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41"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externalLink" Target="externalLinks/externalLink11.xml"/><Relationship Id="rId40" Type="http://schemas.openxmlformats.org/officeDocument/2006/relationships/externalLink" Target="externalLinks/externalLink14.xml"/><Relationship Id="rId45"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externalLink" Target="externalLinks/externalLink10.xml"/><Relationship Id="rId49"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externalLink" Target="externalLinks/externalLink9.xml"/><Relationship Id="rId43" Type="http://schemas.openxmlformats.org/officeDocument/2006/relationships/styles" Target="styles.xml"/><Relationship Id="rId48" Type="http://schemas.openxmlformats.org/officeDocument/2006/relationships/customXml" Target="../customXml/item2.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15</xdr:row>
      <xdr:rowOff>114300</xdr:rowOff>
    </xdr:from>
    <xdr:to>
      <xdr:col>13</xdr:col>
      <xdr:colOff>190500</xdr:colOff>
      <xdr:row>25</xdr:row>
      <xdr:rowOff>76200</xdr:rowOff>
    </xdr:to>
    <xdr:pic>
      <xdr:nvPicPr>
        <xdr:cNvPr id="2" name="Picture 21">
          <a:extLst>
            <a:ext uri="{FF2B5EF4-FFF2-40B4-BE49-F238E27FC236}">
              <a16:creationId xmlns:a16="http://schemas.microsoft.com/office/drawing/2014/main" id="{8ACF2CF0-B672-458D-9A9E-34FFADA567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686050"/>
          <a:ext cx="9229725"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40</xdr:row>
      <xdr:rowOff>76199</xdr:rowOff>
    </xdr:from>
    <xdr:to>
      <xdr:col>71</xdr:col>
      <xdr:colOff>511175</xdr:colOff>
      <xdr:row>53</xdr:row>
      <xdr:rowOff>3174</xdr:rowOff>
    </xdr:to>
    <xdr:pic>
      <xdr:nvPicPr>
        <xdr:cNvPr id="2" name="Picture 21">
          <a:extLst>
            <a:ext uri="{FF2B5EF4-FFF2-40B4-BE49-F238E27FC236}">
              <a16:creationId xmlns:a16="http://schemas.microsoft.com/office/drawing/2014/main" id="{E83A7AA0-6F09-437D-B2C9-6D5D19F138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6696074"/>
          <a:ext cx="8521700" cy="203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JOBS\Waldinger%20Team\MA%20Chapter%20257%20Rates\Tier%203\Violence%20and%20Injury%20Prevention\DPH%20(Nathan)\3361%20Sexual%20Assualt%20Survivor%20&amp;%20Prev%20(SASP)\Analysis\old\DPH%20RCC%20Rate%20Development%20Workbook%201.19.16%20OLD.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EHS-FP-BOS-081\W_Pricing\SubAbuse\2013\Resi%20Rehab\Data\Resi%20Rehab%20_All%20Codes%20Analysis.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W_Pricing\SubAbuse\2013\Resi%20Rehab\Data\Resi%20Rehab%20_All%20Codes%20Analysis.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X:\hus_madcfrmu\MA%20DYS\RRO\2016%20Provisional%202014%20Final\2.%20Staff%20Rosters\MA%20DYS%20RO%20Time%20Study%20Staff%20Roster%20Template.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E\X\Data%20&amp;%20Reporting%20Tools\STARR%20Utilization\STARR%20Utilization%20Tool%20FY10%20Jun"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Administrative%20Services-POS%20Policy%20Office\Admin%20&amp;%20Staff\Kara\Workforce%20Initiatives\May%202022%20BLS\1a.%20C.257%20%20BLS%20M2022%2053rd%20with%20BU.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CoFarrell\AppData\Local\Microsoft\Windows\INetCache\Content.Outlook\HRDQA07H\1.%20C.257%20%20BLS%20Benchmarks%20M2021%20WI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HS.govt.state.ma.us\DFS\DDS\Boston_500_Harrison_ave\group\OMF\CONTRACT\Reports\Attendance%20Summaries\Monthly%20Attendance%20Summary%20(Bob%20report)%20FY22%202022_09_15.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EHS-FP-BOS-081\Users\Villacorta\Downloads\FINAL%20ANALYSIS%20Counseling%20Rate%20Options%200719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Villacorta\Downloads\FINAL%20ANALYSIS%20Counseling%20Rate%20Options%200719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Hcf06\workgroups\W_Pricing\SubAbuse\2012\Data\Outpatient%20Counseling%20&amp;%20Other%20Related\Counseling%20Rate%20Options%20MARCH%20181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ALLDHCFP\Shared%20Files\OSD\Don\EI\General%20Analysis%20Template%20V6.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ADeeker\Local%20Settings\Temporary%20Internet%20Files\Content.Outlook\76FJ858H\YITS_DPH_Yr%203%20review_FY2010-2011_General%20Analysis.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EHS-FP-BOS-081\Users\HNaciri\Downloads\Resi%20Rehab%203386&amp;3401%20122613%20330pm.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HNaciri\Downloads\Resi%20Rehab%203386&amp;3401%20122613%20330pm.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1. FY15 UFR - Aggregate"/>
      <sheetName val="1. FY15 UFR - Pivot"/>
      <sheetName val="2a. FY13 Units"/>
      <sheetName val="3. CAF Spring 2015"/>
      <sheetName val="2b. Staff %"/>
      <sheetName val="2c. Service Length"/>
      <sheetName val="2d. FTE"/>
      <sheetName val="2e. Volunteers"/>
      <sheetName val="Workspace 1"/>
      <sheetName val="Workspace 2"/>
      <sheetName val="4. Rate Calculations"/>
      <sheetName val="Complete UFR List"/>
      <sheetName val="5. Fiscal Impact"/>
      <sheetName val="BARCC"/>
      <sheetName val="Center for H&amp;H"/>
      <sheetName val="Eliz. F."/>
      <sheetName val="Health Imp."/>
      <sheetName val="Ind. House"/>
      <sheetName val="Marthas Vineyard CS"/>
      <sheetName val="NELCWIT"/>
      <sheetName val="New Hope"/>
      <sheetName val="Pathways for Change"/>
      <sheetName val="Safe Place"/>
      <sheetName val="South Middlesex"/>
      <sheetName val="Wayside Y&amp;F"/>
      <sheetName val="YWCA Lawrence"/>
      <sheetName val="YWCA Western MA"/>
    </sheetNames>
    <sheetDataSet>
      <sheetData sheetId="0"/>
      <sheetData sheetId="1"/>
      <sheetData sheetId="2"/>
      <sheetData sheetId="3"/>
      <sheetData sheetId="4"/>
      <sheetData sheetId="5"/>
      <sheetData sheetId="6">
        <row r="16">
          <cell r="C16">
            <v>1.25</v>
          </cell>
        </row>
      </sheetData>
      <sheetData sheetId="7"/>
      <sheetData sheetId="8"/>
      <sheetData sheetId="9"/>
      <sheetData sheetId="10"/>
      <sheetData sheetId="11"/>
      <sheetData sheetId="12">
        <row r="3">
          <cell r="A3">
            <v>102</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Anlys"/>
      <sheetName val="AdminAnlys_noPP"/>
      <sheetName val="Support"/>
      <sheetName val="CatsRevised"/>
      <sheetName val="Resi Rehab Models112213"/>
      <sheetName val="Profit.Loss"/>
      <sheetName val="Per Day Templte"/>
      <sheetName val="MMARS"/>
      <sheetName val="UFRBedSizes"/>
      <sheetName val="RateOptions"/>
      <sheetName val="CostSummary"/>
      <sheetName val="ALLCleanData"/>
      <sheetName val="ALLRawDataCalcs"/>
      <sheetName val="ALLCleanData (2)"/>
      <sheetName val="ALLRawDataCalcs (2)"/>
      <sheetName val="Lookups"/>
      <sheetName val="Source"/>
      <sheetName val="Relief"/>
      <sheetName val="CA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t="str">
            <v>Anchor House, Inc</v>
          </cell>
        </row>
        <row r="79">
          <cell r="L79">
            <v>0</v>
          </cell>
          <cell r="M79">
            <v>0.57739105381871081</v>
          </cell>
          <cell r="N79">
            <v>0</v>
          </cell>
          <cell r="O79">
            <v>0</v>
          </cell>
          <cell r="P79">
            <v>0</v>
          </cell>
          <cell r="Q79">
            <v>0</v>
          </cell>
          <cell r="R79">
            <v>0</v>
          </cell>
          <cell r="S79">
            <v>0</v>
          </cell>
          <cell r="T79">
            <v>0</v>
          </cell>
          <cell r="U79">
            <v>0</v>
          </cell>
          <cell r="V79">
            <v>0</v>
          </cell>
          <cell r="W79">
            <v>0</v>
          </cell>
          <cell r="X79">
            <v>0</v>
          </cell>
          <cell r="Y79">
            <v>0</v>
          </cell>
          <cell r="Z79">
            <v>28435.137155526689</v>
          </cell>
          <cell r="AA79">
            <v>17680</v>
          </cell>
          <cell r="AB79">
            <v>17680</v>
          </cell>
          <cell r="AC79">
            <v>17680</v>
          </cell>
          <cell r="AD79">
            <v>0</v>
          </cell>
          <cell r="AE79">
            <v>0</v>
          </cell>
          <cell r="AF79">
            <v>17680</v>
          </cell>
          <cell r="AG79">
            <v>17680</v>
          </cell>
          <cell r="AH79">
            <v>0</v>
          </cell>
          <cell r="AI79">
            <v>0</v>
          </cell>
          <cell r="AJ79">
            <v>0</v>
          </cell>
          <cell r="AK79">
            <v>0</v>
          </cell>
          <cell r="AL79">
            <v>0</v>
          </cell>
          <cell r="AM79">
            <v>0</v>
          </cell>
          <cell r="AN79">
            <v>0</v>
          </cell>
          <cell r="AO79">
            <v>0</v>
          </cell>
          <cell r="AP79">
            <v>0</v>
          </cell>
          <cell r="AQ79">
            <v>0</v>
          </cell>
          <cell r="AR79">
            <v>23859.120535267313</v>
          </cell>
          <cell r="AS79">
            <v>0</v>
          </cell>
          <cell r="AT79">
            <v>0</v>
          </cell>
          <cell r="AU79">
            <v>50802.732601898606</v>
          </cell>
          <cell r="AV79">
            <v>17680</v>
          </cell>
          <cell r="AW79">
            <v>17680</v>
          </cell>
          <cell r="AX79">
            <v>17680</v>
          </cell>
          <cell r="AY79">
            <v>0</v>
          </cell>
          <cell r="AZ79">
            <v>17680</v>
          </cell>
          <cell r="BA79">
            <v>17680</v>
          </cell>
          <cell r="BB79">
            <v>38683.69077867044</v>
          </cell>
          <cell r="BC79">
            <v>17680</v>
          </cell>
          <cell r="BD79">
            <v>17680</v>
          </cell>
          <cell r="BE79">
            <v>17680</v>
          </cell>
          <cell r="BF79">
            <v>17680</v>
          </cell>
          <cell r="BG79">
            <v>17680</v>
          </cell>
          <cell r="BH79">
            <v>19062.457831543241</v>
          </cell>
          <cell r="BI79">
            <v>17680</v>
          </cell>
          <cell r="BJ79">
            <v>17680</v>
          </cell>
          <cell r="BK79">
            <v>0</v>
          </cell>
          <cell r="BL79">
            <v>21681.305257972374</v>
          </cell>
          <cell r="BM79">
            <v>17680</v>
          </cell>
          <cell r="BN79">
            <v>27891.865159060682</v>
          </cell>
          <cell r="BO79">
            <v>17680</v>
          </cell>
          <cell r="BP79">
            <v>17680</v>
          </cell>
          <cell r="BQ79">
            <v>0</v>
          </cell>
          <cell r="BR79">
            <v>17680</v>
          </cell>
          <cell r="BS79">
            <v>17680</v>
          </cell>
          <cell r="BT79">
            <v>-33840.825207644957</v>
          </cell>
          <cell r="BU79">
            <v>9.9399320216439602E-2</v>
          </cell>
          <cell r="BV79">
            <v>-7186.0683792355921</v>
          </cell>
          <cell r="BW79">
            <v>-35177.791184608956</v>
          </cell>
          <cell r="BX79">
            <v>-35590.8564710625</v>
          </cell>
          <cell r="BY79">
            <v>-55116.908947536416</v>
          </cell>
          <cell r="BZ79">
            <v>-83307.390942615937</v>
          </cell>
          <cell r="CA79">
            <v>-273349.04756602121</v>
          </cell>
          <cell r="CB79">
            <v>-7.7547029698140868E-2</v>
          </cell>
          <cell r="CC79">
            <v>-39734.823067126941</v>
          </cell>
          <cell r="CD79">
            <v>-11517.352389708823</v>
          </cell>
          <cell r="CE79">
            <v>-46362.182866501425</v>
          </cell>
          <cell r="CF79">
            <v>0</v>
          </cell>
          <cell r="CG79">
            <v>-136501.6277690421</v>
          </cell>
          <cell r="CH79">
            <v>-90397.5729167721</v>
          </cell>
          <cell r="CI79">
            <v>-152542.56256830844</v>
          </cell>
          <cell r="CJ79">
            <v>-35177.791184608956</v>
          </cell>
          <cell r="CK79">
            <v>-55706.39251003167</v>
          </cell>
          <cell r="CL79">
            <v>-55116.908947536416</v>
          </cell>
          <cell r="CM79">
            <v>-22219.839170646766</v>
          </cell>
          <cell r="CN79">
            <v>-83307.390942615937</v>
          </cell>
          <cell r="CO79">
            <v>-300520.46157656109</v>
          </cell>
          <cell r="CP79">
            <v>0.30633124267464451</v>
          </cell>
          <cell r="CQ79">
            <v>5.7034936589832844E-2</v>
          </cell>
          <cell r="CR79">
            <v>4.4068118751284815E-2</v>
          </cell>
          <cell r="CS79">
            <v>2.7587424293530421E-2</v>
          </cell>
          <cell r="CT79">
            <v>-1.0746712977518131E-2</v>
          </cell>
          <cell r="CU79">
            <v>5.6488367741951151E-3</v>
          </cell>
          <cell r="CV79">
            <v>-2062.0561046906537</v>
          </cell>
          <cell r="CW79">
            <v>-471.57856070100786</v>
          </cell>
          <cell r="CX79">
            <v>-829.79647253395638</v>
          </cell>
          <cell r="CY79">
            <v>-702.99662310767405</v>
          </cell>
          <cell r="CZ79">
            <v>-32.286801646116025</v>
          </cell>
          <cell r="DA79">
            <v>-1727.3032736999844</v>
          </cell>
          <cell r="DB79">
            <v>-5737.0735599716909</v>
          </cell>
        </row>
        <row r="80">
          <cell r="L80">
            <v>69.284636205819837</v>
          </cell>
          <cell r="M80">
            <v>1.1771650937138902</v>
          </cell>
          <cell r="N80">
            <v>3.4122506676181943</v>
          </cell>
          <cell r="O80">
            <v>0.82069868579631511</v>
          </cell>
          <cell r="P80">
            <v>2.6508850651609546</v>
          </cell>
          <cell r="Q80">
            <v>0</v>
          </cell>
          <cell r="R80">
            <v>21.232076463903709</v>
          </cell>
          <cell r="S80">
            <v>6.938323741838091</v>
          </cell>
          <cell r="T80">
            <v>3.1186545144232269</v>
          </cell>
          <cell r="U80">
            <v>5.7442478853553091E-3</v>
          </cell>
          <cell r="V80">
            <v>10.880829883086919</v>
          </cell>
          <cell r="W80">
            <v>0</v>
          </cell>
          <cell r="X80">
            <v>13.410649962472018</v>
          </cell>
          <cell r="Y80">
            <v>6.5547543892416638</v>
          </cell>
          <cell r="Z80">
            <v>88967.234496437944</v>
          </cell>
          <cell r="AA80">
            <v>122198.93712645938</v>
          </cell>
          <cell r="AB80">
            <v>63161.328698046535</v>
          </cell>
          <cell r="AC80">
            <v>102102.1506130342</v>
          </cell>
          <cell r="AD80">
            <v>0</v>
          </cell>
          <cell r="AE80">
            <v>0</v>
          </cell>
          <cell r="AF80">
            <v>167549.29408607361</v>
          </cell>
          <cell r="AG80">
            <v>75546.455144027117</v>
          </cell>
          <cell r="AH80">
            <v>0</v>
          </cell>
          <cell r="AI80">
            <v>0</v>
          </cell>
          <cell r="AJ80">
            <v>0</v>
          </cell>
          <cell r="AK80">
            <v>0</v>
          </cell>
          <cell r="AL80">
            <v>0</v>
          </cell>
          <cell r="AM80">
            <v>0</v>
          </cell>
          <cell r="AN80">
            <v>0</v>
          </cell>
          <cell r="AO80">
            <v>0</v>
          </cell>
          <cell r="AP80">
            <v>0</v>
          </cell>
          <cell r="AQ80">
            <v>0</v>
          </cell>
          <cell r="AR80">
            <v>30239.396853710758</v>
          </cell>
          <cell r="AS80">
            <v>0</v>
          </cell>
          <cell r="AT80">
            <v>0</v>
          </cell>
          <cell r="AU80">
            <v>57141.476956924918</v>
          </cell>
          <cell r="AV80">
            <v>94785.379298349784</v>
          </cell>
          <cell r="AW80">
            <v>115332.99841003475</v>
          </cell>
          <cell r="AX80">
            <v>74232.856721660632</v>
          </cell>
          <cell r="AY80">
            <v>0</v>
          </cell>
          <cell r="AZ80">
            <v>57851.390584257657</v>
          </cell>
          <cell r="BA80">
            <v>54077.519564488088</v>
          </cell>
          <cell r="BB80">
            <v>46993.941797087129</v>
          </cell>
          <cell r="BC80">
            <v>47031.925855490001</v>
          </cell>
          <cell r="BD80">
            <v>80910.77582627043</v>
          </cell>
          <cell r="BE80">
            <v>58979.412238436635</v>
          </cell>
          <cell r="BF80">
            <v>37606.724099758874</v>
          </cell>
          <cell r="BG80">
            <v>34184.545775221428</v>
          </cell>
          <cell r="BH80">
            <v>44682.447478512273</v>
          </cell>
          <cell r="BI80">
            <v>43279.289309185209</v>
          </cell>
          <cell r="BJ80">
            <v>34764.713108452248</v>
          </cell>
          <cell r="BK80">
            <v>0</v>
          </cell>
          <cell r="BL80">
            <v>44540.726387923671</v>
          </cell>
          <cell r="BM80">
            <v>87042.359908091457</v>
          </cell>
          <cell r="BN80">
            <v>89444.929291394248</v>
          </cell>
          <cell r="BO80">
            <v>124289.8138430859</v>
          </cell>
          <cell r="BP80">
            <v>69728.324373011812</v>
          </cell>
          <cell r="BQ80">
            <v>0</v>
          </cell>
          <cell r="BR80">
            <v>45725.015042832936</v>
          </cell>
          <cell r="BS80">
            <v>42929.696587844563</v>
          </cell>
          <cell r="BT80">
            <v>208567.74314375603</v>
          </cell>
          <cell r="BU80">
            <v>0.37939257864307757</v>
          </cell>
          <cell r="BV80">
            <v>11340.46896574504</v>
          </cell>
          <cell r="BW80">
            <v>205750.30853421061</v>
          </cell>
          <cell r="BX80">
            <v>52533.215359951391</v>
          </cell>
          <cell r="BY80">
            <v>218916.6417253142</v>
          </cell>
          <cell r="BZ80">
            <v>324950.55705412541</v>
          </cell>
          <cell r="CA80">
            <v>1633627.1796378456</v>
          </cell>
          <cell r="CB80">
            <v>0.4782126529821793</v>
          </cell>
          <cell r="CC80">
            <v>171362.27445601582</v>
          </cell>
          <cell r="CD80">
            <v>13622.627111931048</v>
          </cell>
          <cell r="CE80">
            <v>68743.295088723651</v>
          </cell>
          <cell r="CF80">
            <v>0</v>
          </cell>
          <cell r="CG80">
            <v>614410.50415793085</v>
          </cell>
          <cell r="CH80">
            <v>161336.79569454989</v>
          </cell>
          <cell r="CI80">
            <v>857504.50006830844</v>
          </cell>
          <cell r="CJ80">
            <v>205750.30853421061</v>
          </cell>
          <cell r="CK80">
            <v>300031.79195447615</v>
          </cell>
          <cell r="CL80">
            <v>218916.6417253142</v>
          </cell>
          <cell r="CM80">
            <v>60845.945281757871</v>
          </cell>
          <cell r="CN80">
            <v>324950.55705412541</v>
          </cell>
          <cell r="CO80">
            <v>1864449.3208710058</v>
          </cell>
          <cell r="CP80">
            <v>0.59146570716910496</v>
          </cell>
          <cell r="CQ80">
            <v>0.1587990772116758</v>
          </cell>
          <cell r="CR80">
            <v>0.27304046663532405</v>
          </cell>
          <cell r="CS80">
            <v>0.17036991581041908</v>
          </cell>
          <cell r="CT80">
            <v>6.308030690001018E-2</v>
          </cell>
          <cell r="CU80">
            <v>0.31768181299437093</v>
          </cell>
          <cell r="CV80">
            <v>2532.7091484425123</v>
          </cell>
          <cell r="CW80">
            <v>581.11630348162896</v>
          </cell>
          <cell r="CX80">
            <v>1018.2283441433642</v>
          </cell>
          <cell r="CY80">
            <v>840.02908424611667</v>
          </cell>
          <cell r="CZ80">
            <v>43.083668282855932</v>
          </cell>
          <cell r="DA80">
            <v>2047.9481385330873</v>
          </cell>
          <cell r="DB80">
            <v>6974.1704107218638</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Anlys"/>
      <sheetName val="AdminAnlys_noPP"/>
      <sheetName val="Support"/>
      <sheetName val="CatsRevised"/>
      <sheetName val="Resi Rehab Models112213"/>
      <sheetName val="Profit.Loss"/>
      <sheetName val="Per Day Templte"/>
      <sheetName val="MMARS"/>
      <sheetName val="UFRBedSizes"/>
      <sheetName val="RateOptions"/>
      <sheetName val="CostSummary"/>
      <sheetName val="ALLCleanData"/>
      <sheetName val="ALLRawDataCalcs"/>
      <sheetName val="ALLCleanData (2)"/>
      <sheetName val="ALLRawDataCalcs (2)"/>
      <sheetName val="Lookups"/>
      <sheetName val="Source"/>
      <sheetName val="Relief"/>
      <sheetName val="CA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t="str">
            <v>Anchor House, Inc</v>
          </cell>
        </row>
        <row r="79">
          <cell r="L79">
            <v>0</v>
          </cell>
          <cell r="M79">
            <v>0.57739105381871081</v>
          </cell>
          <cell r="N79">
            <v>0</v>
          </cell>
          <cell r="O79">
            <v>0</v>
          </cell>
          <cell r="P79">
            <v>0</v>
          </cell>
          <cell r="Q79">
            <v>0</v>
          </cell>
          <cell r="R79">
            <v>0</v>
          </cell>
          <cell r="S79">
            <v>0</v>
          </cell>
          <cell r="T79">
            <v>0</v>
          </cell>
          <cell r="U79">
            <v>0</v>
          </cell>
          <cell r="V79">
            <v>0</v>
          </cell>
          <cell r="W79">
            <v>0</v>
          </cell>
          <cell r="X79">
            <v>0</v>
          </cell>
          <cell r="Y79">
            <v>0</v>
          </cell>
          <cell r="Z79">
            <v>28435.137155526689</v>
          </cell>
          <cell r="AA79">
            <v>17680</v>
          </cell>
          <cell r="AB79">
            <v>17680</v>
          </cell>
          <cell r="AC79">
            <v>17680</v>
          </cell>
          <cell r="AD79">
            <v>0</v>
          </cell>
          <cell r="AE79">
            <v>0</v>
          </cell>
          <cell r="AF79">
            <v>17680</v>
          </cell>
          <cell r="AG79">
            <v>17680</v>
          </cell>
          <cell r="AH79">
            <v>0</v>
          </cell>
          <cell r="AI79">
            <v>0</v>
          </cell>
          <cell r="AJ79">
            <v>0</v>
          </cell>
          <cell r="AK79">
            <v>0</v>
          </cell>
          <cell r="AL79">
            <v>0</v>
          </cell>
          <cell r="AM79">
            <v>0</v>
          </cell>
          <cell r="AN79">
            <v>0</v>
          </cell>
          <cell r="AO79">
            <v>0</v>
          </cell>
          <cell r="AP79">
            <v>0</v>
          </cell>
          <cell r="AQ79">
            <v>0</v>
          </cell>
          <cell r="AR79">
            <v>23859.120535267313</v>
          </cell>
          <cell r="AS79">
            <v>0</v>
          </cell>
          <cell r="AT79">
            <v>0</v>
          </cell>
          <cell r="AU79">
            <v>50802.732601898606</v>
          </cell>
          <cell r="AV79">
            <v>17680</v>
          </cell>
          <cell r="AW79">
            <v>17680</v>
          </cell>
          <cell r="AX79">
            <v>17680</v>
          </cell>
          <cell r="AY79">
            <v>0</v>
          </cell>
          <cell r="AZ79">
            <v>17680</v>
          </cell>
          <cell r="BA79">
            <v>17680</v>
          </cell>
          <cell r="BB79">
            <v>38683.69077867044</v>
          </cell>
          <cell r="BC79">
            <v>17680</v>
          </cell>
          <cell r="BD79">
            <v>17680</v>
          </cell>
          <cell r="BE79">
            <v>17680</v>
          </cell>
          <cell r="BF79">
            <v>17680</v>
          </cell>
          <cell r="BG79">
            <v>17680</v>
          </cell>
          <cell r="BH79">
            <v>19062.457831543241</v>
          </cell>
          <cell r="BI79">
            <v>17680</v>
          </cell>
          <cell r="BJ79">
            <v>17680</v>
          </cell>
          <cell r="BK79">
            <v>0</v>
          </cell>
          <cell r="BL79">
            <v>21681.305257972374</v>
          </cell>
          <cell r="BM79">
            <v>17680</v>
          </cell>
          <cell r="BN79">
            <v>27891.865159060682</v>
          </cell>
          <cell r="BO79">
            <v>17680</v>
          </cell>
          <cell r="BP79">
            <v>17680</v>
          </cell>
          <cell r="BQ79">
            <v>0</v>
          </cell>
          <cell r="BR79">
            <v>17680</v>
          </cell>
          <cell r="BS79">
            <v>17680</v>
          </cell>
          <cell r="BT79">
            <v>-33840.825207644957</v>
          </cell>
          <cell r="BU79">
            <v>9.9399320216439602E-2</v>
          </cell>
          <cell r="BV79">
            <v>-7186.0683792355921</v>
          </cell>
          <cell r="BW79">
            <v>-35177.791184608956</v>
          </cell>
          <cell r="BX79">
            <v>-35590.8564710625</v>
          </cell>
          <cell r="BY79">
            <v>-55116.908947536416</v>
          </cell>
          <cell r="BZ79">
            <v>-83307.390942615937</v>
          </cell>
          <cell r="CA79">
            <v>-273349.04756602121</v>
          </cell>
          <cell r="CB79">
            <v>-7.7547029698140868E-2</v>
          </cell>
          <cell r="CC79">
            <v>-39734.823067126941</v>
          </cell>
          <cell r="CD79">
            <v>-11517.352389708823</v>
          </cell>
          <cell r="CE79">
            <v>-46362.182866501425</v>
          </cell>
          <cell r="CF79">
            <v>0</v>
          </cell>
          <cell r="CG79">
            <v>-136501.6277690421</v>
          </cell>
          <cell r="CH79">
            <v>-90397.5729167721</v>
          </cell>
          <cell r="CI79">
            <v>-152542.56256830844</v>
          </cell>
          <cell r="CJ79">
            <v>-35177.791184608956</v>
          </cell>
          <cell r="CK79">
            <v>-55706.39251003167</v>
          </cell>
          <cell r="CL79">
            <v>-55116.908947536416</v>
          </cell>
          <cell r="CM79">
            <v>-22219.839170646766</v>
          </cell>
          <cell r="CN79">
            <v>-83307.390942615937</v>
          </cell>
          <cell r="CO79">
            <v>-300520.46157656109</v>
          </cell>
          <cell r="CP79">
            <v>0.30633124267464451</v>
          </cell>
          <cell r="CQ79">
            <v>5.7034936589832844E-2</v>
          </cell>
          <cell r="CR79">
            <v>4.4068118751284815E-2</v>
          </cell>
          <cell r="CS79">
            <v>2.7587424293530421E-2</v>
          </cell>
          <cell r="CT79">
            <v>-1.0746712977518131E-2</v>
          </cell>
          <cell r="CU79">
            <v>5.6488367741951151E-3</v>
          </cell>
          <cell r="CV79">
            <v>-2062.0561046906537</v>
          </cell>
          <cell r="CW79">
            <v>-471.57856070100786</v>
          </cell>
          <cell r="CX79">
            <v>-829.79647253395638</v>
          </cell>
          <cell r="CY79">
            <v>-702.99662310767405</v>
          </cell>
          <cell r="CZ79">
            <v>-32.286801646116025</v>
          </cell>
          <cell r="DA79">
            <v>-1727.3032736999844</v>
          </cell>
          <cell r="DB79">
            <v>-5737.0735599716909</v>
          </cell>
        </row>
        <row r="80">
          <cell r="L80">
            <v>69.284636205819837</v>
          </cell>
          <cell r="M80">
            <v>1.1771650937138902</v>
          </cell>
          <cell r="N80">
            <v>3.4122506676181943</v>
          </cell>
          <cell r="O80">
            <v>0.82069868579631511</v>
          </cell>
          <cell r="P80">
            <v>2.6508850651609546</v>
          </cell>
          <cell r="Q80">
            <v>0</v>
          </cell>
          <cell r="R80">
            <v>21.232076463903709</v>
          </cell>
          <cell r="S80">
            <v>6.938323741838091</v>
          </cell>
          <cell r="T80">
            <v>3.1186545144232269</v>
          </cell>
          <cell r="U80">
            <v>5.7442478853553091E-3</v>
          </cell>
          <cell r="V80">
            <v>10.880829883086919</v>
          </cell>
          <cell r="W80">
            <v>0</v>
          </cell>
          <cell r="X80">
            <v>13.410649962472018</v>
          </cell>
          <cell r="Y80">
            <v>6.5547543892416638</v>
          </cell>
          <cell r="Z80">
            <v>88967.234496437944</v>
          </cell>
          <cell r="AA80">
            <v>122198.93712645938</v>
          </cell>
          <cell r="AB80">
            <v>63161.328698046535</v>
          </cell>
          <cell r="AC80">
            <v>102102.1506130342</v>
          </cell>
          <cell r="AD80">
            <v>0</v>
          </cell>
          <cell r="AE80">
            <v>0</v>
          </cell>
          <cell r="AF80">
            <v>167549.29408607361</v>
          </cell>
          <cell r="AG80">
            <v>75546.455144027117</v>
          </cell>
          <cell r="AH80">
            <v>0</v>
          </cell>
          <cell r="AI80">
            <v>0</v>
          </cell>
          <cell r="AJ80">
            <v>0</v>
          </cell>
          <cell r="AK80">
            <v>0</v>
          </cell>
          <cell r="AL80">
            <v>0</v>
          </cell>
          <cell r="AM80">
            <v>0</v>
          </cell>
          <cell r="AN80">
            <v>0</v>
          </cell>
          <cell r="AO80">
            <v>0</v>
          </cell>
          <cell r="AP80">
            <v>0</v>
          </cell>
          <cell r="AQ80">
            <v>0</v>
          </cell>
          <cell r="AR80">
            <v>30239.396853710758</v>
          </cell>
          <cell r="AS80">
            <v>0</v>
          </cell>
          <cell r="AT80">
            <v>0</v>
          </cell>
          <cell r="AU80">
            <v>57141.476956924918</v>
          </cell>
          <cell r="AV80">
            <v>94785.379298349784</v>
          </cell>
          <cell r="AW80">
            <v>115332.99841003475</v>
          </cell>
          <cell r="AX80">
            <v>74232.856721660632</v>
          </cell>
          <cell r="AY80">
            <v>0</v>
          </cell>
          <cell r="AZ80">
            <v>57851.390584257657</v>
          </cell>
          <cell r="BA80">
            <v>54077.519564488088</v>
          </cell>
          <cell r="BB80">
            <v>46993.941797087129</v>
          </cell>
          <cell r="BC80">
            <v>47031.925855490001</v>
          </cell>
          <cell r="BD80">
            <v>80910.77582627043</v>
          </cell>
          <cell r="BE80">
            <v>58979.412238436635</v>
          </cell>
          <cell r="BF80">
            <v>37606.724099758874</v>
          </cell>
          <cell r="BG80">
            <v>34184.545775221428</v>
          </cell>
          <cell r="BH80">
            <v>44682.447478512273</v>
          </cell>
          <cell r="BI80">
            <v>43279.289309185209</v>
          </cell>
          <cell r="BJ80">
            <v>34764.713108452248</v>
          </cell>
          <cell r="BK80">
            <v>0</v>
          </cell>
          <cell r="BL80">
            <v>44540.726387923671</v>
          </cell>
          <cell r="BM80">
            <v>87042.359908091457</v>
          </cell>
          <cell r="BN80">
            <v>89444.929291394248</v>
          </cell>
          <cell r="BO80">
            <v>124289.8138430859</v>
          </cell>
          <cell r="BP80">
            <v>69728.324373011812</v>
          </cell>
          <cell r="BQ80">
            <v>0</v>
          </cell>
          <cell r="BR80">
            <v>45725.015042832936</v>
          </cell>
          <cell r="BS80">
            <v>42929.696587844563</v>
          </cell>
          <cell r="BT80">
            <v>208567.74314375603</v>
          </cell>
          <cell r="BU80">
            <v>0.37939257864307757</v>
          </cell>
          <cell r="BV80">
            <v>11340.46896574504</v>
          </cell>
          <cell r="BW80">
            <v>205750.30853421061</v>
          </cell>
          <cell r="BX80">
            <v>52533.215359951391</v>
          </cell>
          <cell r="BY80">
            <v>218916.6417253142</v>
          </cell>
          <cell r="BZ80">
            <v>324950.55705412541</v>
          </cell>
          <cell r="CA80">
            <v>1633627.1796378456</v>
          </cell>
          <cell r="CB80">
            <v>0.4782126529821793</v>
          </cell>
          <cell r="CC80">
            <v>171362.27445601582</v>
          </cell>
          <cell r="CD80">
            <v>13622.627111931048</v>
          </cell>
          <cell r="CE80">
            <v>68743.295088723651</v>
          </cell>
          <cell r="CF80">
            <v>0</v>
          </cell>
          <cell r="CG80">
            <v>614410.50415793085</v>
          </cell>
          <cell r="CH80">
            <v>161336.79569454989</v>
          </cell>
          <cell r="CI80">
            <v>857504.50006830844</v>
          </cell>
          <cell r="CJ80">
            <v>205750.30853421061</v>
          </cell>
          <cell r="CK80">
            <v>300031.79195447615</v>
          </cell>
          <cell r="CL80">
            <v>218916.6417253142</v>
          </cell>
          <cell r="CM80">
            <v>60845.945281757871</v>
          </cell>
          <cell r="CN80">
            <v>324950.55705412541</v>
          </cell>
          <cell r="CO80">
            <v>1864449.3208710058</v>
          </cell>
          <cell r="CP80">
            <v>0.59146570716910496</v>
          </cell>
          <cell r="CQ80">
            <v>0.1587990772116758</v>
          </cell>
          <cell r="CR80">
            <v>0.27304046663532405</v>
          </cell>
          <cell r="CS80">
            <v>0.17036991581041908</v>
          </cell>
          <cell r="CT80">
            <v>6.308030690001018E-2</v>
          </cell>
          <cell r="CU80">
            <v>0.31768181299437093</v>
          </cell>
          <cell r="CV80">
            <v>2532.7091484425123</v>
          </cell>
          <cell r="CW80">
            <v>581.11630348162896</v>
          </cell>
          <cell r="CX80">
            <v>1018.2283441433642</v>
          </cell>
          <cell r="CY80">
            <v>840.02908424611667</v>
          </cell>
          <cell r="CZ80">
            <v>43.083668282855932</v>
          </cell>
          <cell r="DA80">
            <v>2047.9481385330873</v>
          </cell>
          <cell r="DB80">
            <v>6974.1704107218638</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FR Staff Roster"/>
      <sheetName val="Complete UFR List"/>
      <sheetName val="List of Programs"/>
    </sheetNames>
    <sheetDataSet>
      <sheetData sheetId="0"/>
      <sheetData sheetId="1"/>
      <sheetData sheetId="2">
        <row r="3">
          <cell r="B3" t="str">
            <v>Adira Academy</v>
          </cell>
        </row>
        <row r="4">
          <cell r="B4" t="str">
            <v>Alliance House</v>
          </cell>
        </row>
        <row r="5">
          <cell r="B5" t="str">
            <v>Amesbury Assessment</v>
          </cell>
        </row>
        <row r="6">
          <cell r="B6" t="str">
            <v>Brewster Treatment Program</v>
          </cell>
        </row>
        <row r="7">
          <cell r="B7" t="str">
            <v>Brockton Boys Assessment and Stabilizaton</v>
          </cell>
        </row>
        <row r="8">
          <cell r="B8" t="str">
            <v>Brockton Revocation</v>
          </cell>
        </row>
        <row r="9">
          <cell r="B9" t="str">
            <v>Douglas Academy</v>
          </cell>
        </row>
        <row r="10">
          <cell r="B10" t="str">
            <v>Eliot Pearl Hill Academy</v>
          </cell>
        </row>
        <row r="11">
          <cell r="B11" t="str">
            <v>Eliot Short-term Treatment</v>
          </cell>
        </row>
        <row r="12">
          <cell r="B12" t="str">
            <v>Harvard House</v>
          </cell>
        </row>
        <row r="13">
          <cell r="B13" t="str">
            <v>Bright Futures</v>
          </cell>
        </row>
        <row r="14">
          <cell r="B14" t="str">
            <v>New River Academy</v>
          </cell>
        </row>
        <row r="15">
          <cell r="B15" t="str">
            <v xml:space="preserve">Our House </v>
          </cell>
        </row>
        <row r="16">
          <cell r="B16" t="str">
            <v>South Hadley Girls</v>
          </cell>
        </row>
        <row r="17">
          <cell r="B17" t="str">
            <v>Spectrum REACH</v>
          </cell>
        </row>
        <row r="18">
          <cell r="B18" t="str">
            <v>Strive</v>
          </cell>
        </row>
        <row r="19">
          <cell r="B19" t="str">
            <v>Teamworks</v>
          </cell>
        </row>
        <row r="24">
          <cell r="A24" t="str">
            <v>Eliot Community Human Services</v>
          </cell>
        </row>
        <row r="25">
          <cell r="A25" t="str">
            <v>Northeast Family Institute</v>
          </cell>
        </row>
        <row r="26">
          <cell r="A26" t="str">
            <v>Old Colony YMCA</v>
          </cell>
        </row>
        <row r="27">
          <cell r="A27" t="str">
            <v>Spectrum Health Systems, Inc.</v>
          </cell>
        </row>
        <row r="28">
          <cell r="A28" t="str">
            <v>Key Program, Inc.</v>
          </cell>
        </row>
        <row r="29">
          <cell r="A29" t="str">
            <v>RFK Girls</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rovider Summary"/>
      <sheetName val="Provider Graph"/>
      <sheetName val="LOS Analysis"/>
      <sheetName val="LOS Data"/>
      <sheetName val="Area Sort"/>
      <sheetName val="Regional Sort"/>
      <sheetName val="Regional Graph"/>
      <sheetName val="Regional FTE Data"/>
      <sheetName val="FTE Data"/>
      <sheetName val="Regional Contracts"/>
      <sheetName val="Site Capacity"/>
      <sheetName val="UTIL GAP BY PROV"/>
      <sheetName val="UTIL GAP BY REG"/>
      <sheetName val="Lists"/>
    </sheetNames>
    <sheetDataSet>
      <sheetData sheetId="0"/>
      <sheetData sheetId="1"/>
      <sheetData sheetId="2" refreshError="1"/>
      <sheetData sheetId="3"/>
      <sheetData sheetId="4"/>
      <sheetData sheetId="5"/>
      <sheetData sheetId="6"/>
      <sheetData sheetId="7" refreshError="1"/>
      <sheetData sheetId="8"/>
      <sheetData sheetId="9">
        <row r="3">
          <cell r="A3" t="str">
            <v>Bay State CS / Plymouth / 475 State</v>
          </cell>
          <cell r="L3">
            <v>9.6774193548387094E-2</v>
          </cell>
          <cell r="M3">
            <v>5.7</v>
          </cell>
          <cell r="N3">
            <v>8.7096774193548381</v>
          </cell>
          <cell r="O3">
            <v>8</v>
          </cell>
          <cell r="P3">
            <v>5.0333333333333323</v>
          </cell>
          <cell r="Q3">
            <v>10.451612903225808</v>
          </cell>
          <cell r="R3">
            <v>11.366666666666667</v>
          </cell>
          <cell r="S3">
            <v>10.61290322580645</v>
          </cell>
          <cell r="T3">
            <v>10.903225806451612</v>
          </cell>
          <cell r="U3">
            <v>8.862068965517242</v>
          </cell>
          <cell r="V3">
            <v>10.870967741935482</v>
          </cell>
          <cell r="W3">
            <v>12.066666666666666</v>
          </cell>
          <cell r="X3">
            <v>10.258064516129032</v>
          </cell>
          <cell r="Y3">
            <v>11.333333333333332</v>
          </cell>
          <cell r="Z3">
            <v>10.451612903225806</v>
          </cell>
          <cell r="AA3">
            <v>10.516129032258064</v>
          </cell>
          <cell r="AB3">
            <v>10.933333333333334</v>
          </cell>
          <cell r="AC3">
            <v>10.903225806451614</v>
          </cell>
          <cell r="AD3">
            <v>10.033333333333331</v>
          </cell>
          <cell r="AE3">
            <v>11.290322580645162</v>
          </cell>
          <cell r="AF3">
            <v>10.870967741935484</v>
          </cell>
          <cell r="AG3">
            <v>8.4285714285714288</v>
          </cell>
          <cell r="AH3">
            <v>9.4838709677419342</v>
          </cell>
          <cell r="AI3">
            <v>10.766666666666666</v>
          </cell>
          <cell r="AJ3">
            <v>8.8387096774193559</v>
          </cell>
          <cell r="AK3">
            <v>9.7333333333333325</v>
          </cell>
          <cell r="AL3">
            <v>7.1290322580645142</v>
          </cell>
          <cell r="AM3">
            <v>9.4838709677419377</v>
          </cell>
          <cell r="AN3">
            <v>9.6999999999999993</v>
          </cell>
          <cell r="AO3">
            <v>10.096774193548388</v>
          </cell>
          <cell r="AP3">
            <v>8.8333333333333339</v>
          </cell>
          <cell r="AQ3">
            <v>8.9032258064516139</v>
          </cell>
          <cell r="AR3">
            <v>8.9032258064516121</v>
          </cell>
          <cell r="AS3">
            <v>9.3214285714285712</v>
          </cell>
          <cell r="AT3">
            <v>6.5483870967741931</v>
          </cell>
          <cell r="AU3">
            <v>7.333333333333333</v>
          </cell>
          <cell r="AV3">
            <v>11.451612903225808</v>
          </cell>
          <cell r="AW3">
            <v>11.5</v>
          </cell>
        </row>
        <row r="4">
          <cell r="A4" t="str">
            <v>Bay State CS / S.Weymouth/ 911 Main</v>
          </cell>
          <cell r="D4">
            <v>5.9666666666666668</v>
          </cell>
          <cell r="E4">
            <v>6.0645161290322571</v>
          </cell>
          <cell r="F4">
            <v>8.2666666666666675</v>
          </cell>
          <cell r="G4">
            <v>7.6774193548387091</v>
          </cell>
          <cell r="H4">
            <v>7.4516129032258052</v>
          </cell>
          <cell r="I4">
            <v>6.6785714285714288</v>
          </cell>
          <cell r="J4">
            <v>7.8064516129032242</v>
          </cell>
          <cell r="K4">
            <v>8.6333333333333329</v>
          </cell>
          <cell r="L4">
            <v>7.67741935483871</v>
          </cell>
          <cell r="M4">
            <v>8.3333333333333321</v>
          </cell>
          <cell r="N4">
            <v>7.9677419354838692</v>
          </cell>
          <cell r="O4">
            <v>8.258064516129032</v>
          </cell>
          <cell r="P4">
            <v>7.6</v>
          </cell>
          <cell r="Q4">
            <v>8.0967741935483861</v>
          </cell>
          <cell r="R4">
            <v>8.8000000000000007</v>
          </cell>
          <cell r="S4">
            <v>8.612903225806452</v>
          </cell>
          <cell r="T4">
            <v>8.4516129032258078</v>
          </cell>
          <cell r="U4">
            <v>7.3103448275862073</v>
          </cell>
          <cell r="V4">
            <v>7.0645161290322562</v>
          </cell>
          <cell r="W4">
            <v>7.6333333333333346</v>
          </cell>
          <cell r="X4">
            <v>7.4516129032258052</v>
          </cell>
          <cell r="Y4">
            <v>7.6333333333333329</v>
          </cell>
          <cell r="Z4">
            <v>8.6129032258064537</v>
          </cell>
          <cell r="AA4">
            <v>5.4838709677419359</v>
          </cell>
          <cell r="AB4">
            <v>5.6333333333333329</v>
          </cell>
          <cell r="AC4">
            <v>7.774193548387097</v>
          </cell>
          <cell r="AD4">
            <v>8.6999999999999993</v>
          </cell>
          <cell r="AE4">
            <v>7.935483870967742</v>
          </cell>
          <cell r="AF4">
            <v>7.8064516129032242</v>
          </cell>
          <cell r="AG4">
            <v>6.5714285714285703</v>
          </cell>
          <cell r="AH4">
            <v>8.0967741935483861</v>
          </cell>
          <cell r="AI4">
            <v>8.8666666666666654</v>
          </cell>
          <cell r="AJ4">
            <v>6.0645161290322571</v>
          </cell>
          <cell r="AK4">
            <v>8.0666666666666647</v>
          </cell>
          <cell r="AL4">
            <v>6.32258064516129</v>
          </cell>
          <cell r="AM4">
            <v>5.161290322580645</v>
          </cell>
          <cell r="AN4">
            <v>8.6</v>
          </cell>
          <cell r="AO4">
            <v>6.3548387096774182</v>
          </cell>
          <cell r="AP4">
            <v>7.8333333333333348</v>
          </cell>
          <cell r="AQ4">
            <v>6.870967741935484</v>
          </cell>
          <cell r="AR4">
            <v>5.2258064516129021</v>
          </cell>
          <cell r="AS4">
            <v>7.7142857142857153</v>
          </cell>
          <cell r="AT4">
            <v>7.5161290322580641</v>
          </cell>
          <cell r="AU4">
            <v>6.9333333333333336</v>
          </cell>
          <cell r="AV4">
            <v>5.2580645161290311</v>
          </cell>
          <cell r="AW4">
            <v>7.7666666666666666</v>
          </cell>
        </row>
        <row r="5">
          <cell r="A5" t="str">
            <v>Brandon/Natick/27Winter St</v>
          </cell>
          <cell r="D5">
            <v>3.3</v>
          </cell>
          <cell r="E5">
            <v>5.612903225806452</v>
          </cell>
          <cell r="F5">
            <v>4.0333333333333332</v>
          </cell>
          <cell r="G5">
            <v>5.580645161290323</v>
          </cell>
          <cell r="H5">
            <v>5.129032258064516</v>
          </cell>
          <cell r="I5">
            <v>5.2857142857142856</v>
          </cell>
          <cell r="J5">
            <v>5.161290322580645</v>
          </cell>
          <cell r="K5">
            <v>4.4333333333333336</v>
          </cell>
          <cell r="L5">
            <v>5.4838709677419351</v>
          </cell>
          <cell r="M5">
            <v>5.9333333333333336</v>
          </cell>
          <cell r="N5">
            <v>5.7741935483870961</v>
          </cell>
          <cell r="O5">
            <v>5.0967741935483879</v>
          </cell>
          <cell r="P5">
            <v>4.8</v>
          </cell>
          <cell r="Q5">
            <v>5.064516129032258</v>
          </cell>
          <cell r="R5">
            <v>5.8</v>
          </cell>
          <cell r="S5">
            <v>5.67741935483871</v>
          </cell>
          <cell r="T5">
            <v>5.870967741935484</v>
          </cell>
          <cell r="U5">
            <v>5.7586206896551726</v>
          </cell>
          <cell r="V5">
            <v>5.838709677419355</v>
          </cell>
          <cell r="W5">
            <v>5.6333333333333337</v>
          </cell>
          <cell r="X5">
            <v>4.7419354838709671</v>
          </cell>
          <cell r="Y5">
            <v>5.5333333333333332</v>
          </cell>
          <cell r="Z5">
            <v>5.9354838709677411</v>
          </cell>
          <cell r="AA5">
            <v>5.5161290322580649</v>
          </cell>
          <cell r="AB5">
            <v>5</v>
          </cell>
          <cell r="AC5">
            <v>4.6774193548387091</v>
          </cell>
          <cell r="AD5">
            <v>5.6666666666666661</v>
          </cell>
          <cell r="AE5">
            <v>5.354838709677419</v>
          </cell>
          <cell r="AF5">
            <v>5.2258064516129021</v>
          </cell>
          <cell r="AG5">
            <v>5.75</v>
          </cell>
          <cell r="AH5">
            <v>5.096774193548387</v>
          </cell>
          <cell r="AI5">
            <v>5.6666666666666661</v>
          </cell>
          <cell r="AJ5">
            <v>5.741935483870968</v>
          </cell>
          <cell r="AK5">
            <v>5.7333333333333334</v>
          </cell>
          <cell r="AL5">
            <v>4.7741935483870961</v>
          </cell>
          <cell r="AM5">
            <v>5.387096774193548</v>
          </cell>
          <cell r="AN5">
            <v>5.7666666666666666</v>
          </cell>
          <cell r="AO5">
            <v>6</v>
          </cell>
          <cell r="AP5">
            <v>5.5</v>
          </cell>
          <cell r="AQ5">
            <v>4.6451612903225801</v>
          </cell>
          <cell r="AR5">
            <v>5.6774193548387091</v>
          </cell>
          <cell r="AS5">
            <v>4.7857142857142847</v>
          </cell>
          <cell r="AT5">
            <v>5.870967741935484</v>
          </cell>
          <cell r="AU5">
            <v>5.9</v>
          </cell>
          <cell r="AV5">
            <v>5.1612903225806441</v>
          </cell>
          <cell r="AW5">
            <v>5.7333333333333334</v>
          </cell>
        </row>
        <row r="6">
          <cell r="A6" t="str">
            <v>Caritas St Mary's /Dorch /90Cushing</v>
          </cell>
          <cell r="B6">
            <v>10</v>
          </cell>
          <cell r="C6">
            <v>9.935483870967742</v>
          </cell>
          <cell r="D6">
            <v>9.9333333333333336</v>
          </cell>
          <cell r="E6">
            <v>9.9032258064516121</v>
          </cell>
          <cell r="F6">
            <v>9.8666666666666671</v>
          </cell>
          <cell r="G6">
            <v>7.193548387096774</v>
          </cell>
          <cell r="H6">
            <v>9.2903225806451584</v>
          </cell>
          <cell r="I6">
            <v>8.9642857142857117</v>
          </cell>
          <cell r="J6">
            <v>9.4838709677419342</v>
          </cell>
          <cell r="K6">
            <v>12.9</v>
          </cell>
          <cell r="L6">
            <v>6.1612903225806432</v>
          </cell>
          <cell r="M6">
            <v>9.1666666666666661</v>
          </cell>
          <cell r="N6">
            <v>9.4516129032258061</v>
          </cell>
          <cell r="O6">
            <v>7.9354838709677411</v>
          </cell>
          <cell r="P6">
            <v>10.866666666666665</v>
          </cell>
          <cell r="Q6">
            <v>9.2580645161290338</v>
          </cell>
          <cell r="R6">
            <v>7.8</v>
          </cell>
          <cell r="S6">
            <v>8.064516129032258</v>
          </cell>
          <cell r="T6">
            <v>8.3548387096774182</v>
          </cell>
          <cell r="U6">
            <v>8.8965517241379306</v>
          </cell>
          <cell r="V6">
            <v>8.7741935483870979</v>
          </cell>
          <cell r="W6">
            <v>9.3333333333333339</v>
          </cell>
          <cell r="X6">
            <v>10.03225806451613</v>
          </cell>
          <cell r="Y6">
            <v>9.8666666666666671</v>
          </cell>
          <cell r="Z6">
            <v>8.0322580645161281</v>
          </cell>
          <cell r="AA6">
            <v>7.5161290322580632</v>
          </cell>
          <cell r="AB6">
            <v>7.0333333333333341</v>
          </cell>
          <cell r="AC6">
            <v>9.2258064516129039</v>
          </cell>
          <cell r="AD6">
            <v>7.666666666666667</v>
          </cell>
          <cell r="AE6">
            <v>6.5806451612903221</v>
          </cell>
          <cell r="AF6">
            <v>11.354838709677418</v>
          </cell>
          <cell r="AG6">
            <v>7.6785714285714288</v>
          </cell>
          <cell r="AH6">
            <v>9.4838709677419359</v>
          </cell>
          <cell r="AI6">
            <v>11.366666666666667</v>
          </cell>
          <cell r="AJ6">
            <v>9.6451612903225801</v>
          </cell>
          <cell r="AK6">
            <v>6.2333333333333325</v>
          </cell>
          <cell r="AL6">
            <v>7.870967741935484</v>
          </cell>
          <cell r="AM6">
            <v>7.935483870967742</v>
          </cell>
          <cell r="AN6">
            <v>8.3666666666666654</v>
          </cell>
          <cell r="AO6">
            <v>10.35483870967742</v>
          </cell>
          <cell r="AP6">
            <v>7.7666666666666666</v>
          </cell>
          <cell r="AQ6">
            <v>6.935483870967742</v>
          </cell>
          <cell r="AR6">
            <v>8.7741935483870979</v>
          </cell>
          <cell r="AS6">
            <v>10.571428571428569</v>
          </cell>
          <cell r="AT6">
            <v>9.258064516129032</v>
          </cell>
          <cell r="AU6">
            <v>6.6</v>
          </cell>
          <cell r="AV6">
            <v>8.1290322580645142</v>
          </cell>
          <cell r="AW6">
            <v>7.4333333333333327</v>
          </cell>
        </row>
        <row r="7">
          <cell r="A7" t="str">
            <v>CFP / Dorchester / 31 Athelwold St</v>
          </cell>
          <cell r="AQ7">
            <v>3.32258064516129</v>
          </cell>
          <cell r="AR7">
            <v>6.4516129032258052</v>
          </cell>
          <cell r="AS7">
            <v>6.8571428571428577</v>
          </cell>
          <cell r="AT7">
            <v>6.7096774193548381</v>
          </cell>
          <cell r="AU7">
            <v>7.2</v>
          </cell>
          <cell r="AV7">
            <v>8.064516129032258</v>
          </cell>
          <cell r="AW7">
            <v>6.3</v>
          </cell>
        </row>
        <row r="8">
          <cell r="A8" t="str">
            <v>Communities For People</v>
          </cell>
          <cell r="AP8">
            <v>1.5</v>
          </cell>
          <cell r="AQ8">
            <v>3.967741935483871</v>
          </cell>
          <cell r="AR8">
            <v>1.032258064516129</v>
          </cell>
        </row>
        <row r="9">
          <cell r="A9" t="str">
            <v>Community Care/S.Attleboro/543Newpo</v>
          </cell>
          <cell r="E9">
            <v>4.064516129032258</v>
          </cell>
          <cell r="F9">
            <v>10.566666666666666</v>
          </cell>
          <cell r="G9">
            <v>10.354838709677418</v>
          </cell>
          <cell r="H9">
            <v>11.09677419354839</v>
          </cell>
          <cell r="I9">
            <v>10.857142857142858</v>
          </cell>
          <cell r="J9">
            <v>11.193548387096774</v>
          </cell>
          <cell r="K9">
            <v>10</v>
          </cell>
          <cell r="L9">
            <v>11.032258064516128</v>
          </cell>
          <cell r="M9">
            <v>11.3</v>
          </cell>
          <cell r="N9">
            <v>10.451612903225808</v>
          </cell>
          <cell r="O9">
            <v>11.64516129032258</v>
          </cell>
          <cell r="P9">
            <v>10.6</v>
          </cell>
          <cell r="Q9">
            <v>10.96774193548387</v>
          </cell>
          <cell r="R9">
            <v>10.8</v>
          </cell>
          <cell r="S9">
            <v>10.129032258064516</v>
          </cell>
          <cell r="T9">
            <v>9.0967741935483879</v>
          </cell>
          <cell r="U9">
            <v>11.448275862068966</v>
          </cell>
          <cell r="V9">
            <v>11.032258064516128</v>
          </cell>
          <cell r="W9">
            <v>11.666666666666668</v>
          </cell>
          <cell r="X9">
            <v>10.580645161290322</v>
          </cell>
          <cell r="Y9">
            <v>11.766666666666667</v>
          </cell>
          <cell r="Z9">
            <v>10.903225806451614</v>
          </cell>
          <cell r="AA9">
            <v>10.290322580645162</v>
          </cell>
          <cell r="AB9">
            <v>9.5</v>
          </cell>
          <cell r="AC9">
            <v>10.290322580645162</v>
          </cell>
          <cell r="AD9">
            <v>9.5333333333333332</v>
          </cell>
          <cell r="AE9">
            <v>8.4193548387096762</v>
          </cell>
          <cell r="AF9">
            <v>11.774193548387096</v>
          </cell>
          <cell r="AG9">
            <v>10.071428571428571</v>
          </cell>
          <cell r="AH9">
            <v>10.193548387096776</v>
          </cell>
          <cell r="AI9">
            <v>10.166666666666666</v>
          </cell>
          <cell r="AJ9">
            <v>9.1612903225806477</v>
          </cell>
          <cell r="AK9">
            <v>9.8000000000000007</v>
          </cell>
          <cell r="AL9">
            <v>9.32258064516129</v>
          </cell>
          <cell r="AM9">
            <v>10.193548387096776</v>
          </cell>
          <cell r="AN9">
            <v>8.4333333333333336</v>
          </cell>
          <cell r="AO9">
            <v>11</v>
          </cell>
          <cell r="AP9">
            <v>9.3666666666666654</v>
          </cell>
          <cell r="AQ9">
            <v>8.4838709677419342</v>
          </cell>
          <cell r="AR9">
            <v>9.806451612903226</v>
          </cell>
          <cell r="AS9">
            <v>8.5</v>
          </cell>
          <cell r="AT9">
            <v>9.2903225806451619</v>
          </cell>
          <cell r="AU9">
            <v>10.7</v>
          </cell>
          <cell r="AV9">
            <v>10.709677419354838</v>
          </cell>
          <cell r="AW9">
            <v>9.3000000000000007</v>
          </cell>
        </row>
        <row r="10">
          <cell r="A10" t="str">
            <v>EliotCommunityHS / Waltham/ 130Dale</v>
          </cell>
          <cell r="D10">
            <v>4.5</v>
          </cell>
          <cell r="E10">
            <v>3.4516129032258065</v>
          </cell>
          <cell r="F10">
            <v>2.1</v>
          </cell>
          <cell r="G10">
            <v>4.7096774193548381</v>
          </cell>
          <cell r="H10">
            <v>3.967741935483871</v>
          </cell>
          <cell r="I10">
            <v>4.7857142857142865</v>
          </cell>
          <cell r="J10">
            <v>5.709677419354839</v>
          </cell>
          <cell r="K10">
            <v>5.4</v>
          </cell>
          <cell r="L10">
            <v>4.838709677419355</v>
          </cell>
          <cell r="M10">
            <v>4.666666666666667</v>
          </cell>
          <cell r="N10">
            <v>3.7096774193548381</v>
          </cell>
          <cell r="O10">
            <v>4.2258064516129039</v>
          </cell>
          <cell r="P10">
            <v>3.8333333333333335</v>
          </cell>
          <cell r="Q10">
            <v>3.129032258064516</v>
          </cell>
          <cell r="R10">
            <v>4.1333333333333329</v>
          </cell>
          <cell r="S10">
            <v>3.096774193548387</v>
          </cell>
          <cell r="T10">
            <v>4.709677419354839</v>
          </cell>
          <cell r="U10">
            <v>4.3793103448275863</v>
          </cell>
          <cell r="V10">
            <v>4.935483870967742</v>
          </cell>
          <cell r="W10">
            <v>4.5</v>
          </cell>
          <cell r="X10">
            <v>4.8064516129032251</v>
          </cell>
          <cell r="Y10">
            <v>4.8666666666666671</v>
          </cell>
          <cell r="Z10">
            <v>4.870967741935484</v>
          </cell>
          <cell r="AA10">
            <v>3.225806451612903</v>
          </cell>
          <cell r="AB10">
            <v>4.5333333333333332</v>
          </cell>
          <cell r="AC10">
            <v>4.5161290322580649</v>
          </cell>
          <cell r="AD10">
            <v>4.9333333333333336</v>
          </cell>
          <cell r="AE10">
            <v>3.096774193548387</v>
          </cell>
          <cell r="AF10">
            <v>3.838709677419355</v>
          </cell>
          <cell r="AG10">
            <v>4.2142857142857144</v>
          </cell>
          <cell r="AH10">
            <v>4.258064516129032</v>
          </cell>
          <cell r="AI10">
            <v>3.9666666666666668</v>
          </cell>
          <cell r="AJ10">
            <v>3.6129032258064515</v>
          </cell>
          <cell r="AK10">
            <v>4.833333333333333</v>
          </cell>
          <cell r="AL10">
            <v>4.67741935483871</v>
          </cell>
          <cell r="AM10">
            <v>4.5483870967741939</v>
          </cell>
          <cell r="AN10">
            <v>3.3</v>
          </cell>
          <cell r="AO10">
            <v>4.32258064516129</v>
          </cell>
          <cell r="AP10">
            <v>4.8333333333333339</v>
          </cell>
          <cell r="AQ10">
            <v>4.2903225806451619</v>
          </cell>
          <cell r="AR10">
            <v>3.3870967741935485</v>
          </cell>
          <cell r="AS10">
            <v>3.5357142857142856</v>
          </cell>
          <cell r="AT10">
            <v>5</v>
          </cell>
          <cell r="AU10">
            <v>4.3666666666666671</v>
          </cell>
          <cell r="AV10">
            <v>5</v>
          </cell>
          <cell r="AW10">
            <v>4.2</v>
          </cell>
        </row>
        <row r="11">
          <cell r="A11" t="str">
            <v>EliotCommunityHS/Arling/734-736Mass</v>
          </cell>
          <cell r="E11">
            <v>3.741935483870968</v>
          </cell>
          <cell r="F11">
            <v>4</v>
          </cell>
          <cell r="G11">
            <v>4.774193548387097</v>
          </cell>
          <cell r="H11">
            <v>5.4838709677419351</v>
          </cell>
          <cell r="I11">
            <v>5.5357142857142856</v>
          </cell>
          <cell r="J11">
            <v>2.225806451612903</v>
          </cell>
          <cell r="K11">
            <v>4.7666666666666657</v>
          </cell>
          <cell r="L11">
            <v>5.935483870967742</v>
          </cell>
          <cell r="M11">
            <v>5.7666666666666675</v>
          </cell>
          <cell r="N11">
            <v>4.9677419354838701</v>
          </cell>
          <cell r="O11">
            <v>4.225806451612903</v>
          </cell>
          <cell r="P11">
            <v>3.9333333333333336</v>
          </cell>
          <cell r="Q11">
            <v>2.4516129032258065</v>
          </cell>
          <cell r="R11">
            <v>5.1333333333333329</v>
          </cell>
          <cell r="S11">
            <v>3.225806451612903</v>
          </cell>
          <cell r="T11">
            <v>4.3870967741935489</v>
          </cell>
          <cell r="U11">
            <v>5.1379310344827589</v>
          </cell>
          <cell r="V11">
            <v>5.0322580645161281</v>
          </cell>
          <cell r="W11">
            <v>5.833333333333333</v>
          </cell>
          <cell r="X11">
            <v>5</v>
          </cell>
          <cell r="Y11">
            <v>5.3</v>
          </cell>
          <cell r="Z11">
            <v>3.7741935483870965</v>
          </cell>
          <cell r="AA11">
            <v>2.0322580645161286</v>
          </cell>
          <cell r="AB11">
            <v>3.4666666666666668</v>
          </cell>
          <cell r="AC11">
            <v>4.3548387096774199</v>
          </cell>
          <cell r="AD11">
            <v>4.5</v>
          </cell>
          <cell r="AE11">
            <v>4.387096774193548</v>
          </cell>
          <cell r="AF11">
            <v>4.741935483870968</v>
          </cell>
          <cell r="AG11">
            <v>5.2857142857142856</v>
          </cell>
          <cell r="AH11">
            <v>5.032258064516129</v>
          </cell>
          <cell r="AI11">
            <v>5.9</v>
          </cell>
          <cell r="AJ11">
            <v>5.8709677419354831</v>
          </cell>
          <cell r="AK11">
            <v>5.5333333333333341</v>
          </cell>
          <cell r="AL11">
            <v>5.387096774193548</v>
          </cell>
          <cell r="AM11">
            <v>6.1935483870967731</v>
          </cell>
          <cell r="AN11">
            <v>4.8333333333333339</v>
          </cell>
          <cell r="AO11">
            <v>5.6774193548387091</v>
          </cell>
          <cell r="AP11">
            <v>5.9333333333333336</v>
          </cell>
          <cell r="AQ11">
            <v>4.8709677419354831</v>
          </cell>
          <cell r="AR11">
            <v>5.870967741935484</v>
          </cell>
          <cell r="AS11">
            <v>5.5357142857142856</v>
          </cell>
          <cell r="AT11">
            <v>5.5806451612903221</v>
          </cell>
          <cell r="AU11">
            <v>4.9666666666666659</v>
          </cell>
          <cell r="AV11">
            <v>5.709677419354839</v>
          </cell>
          <cell r="AW11">
            <v>5.6</v>
          </cell>
        </row>
        <row r="12">
          <cell r="A12" t="str">
            <v>EliotCommunityHS/Dedham/20Harvey</v>
          </cell>
          <cell r="D12">
            <v>4</v>
          </cell>
          <cell r="E12">
            <v>3.8709677419354835</v>
          </cell>
          <cell r="F12">
            <v>4.2666666666666666</v>
          </cell>
          <cell r="G12">
            <v>4.096774193548387</v>
          </cell>
          <cell r="H12">
            <v>2.7741935483870965</v>
          </cell>
          <cell r="I12">
            <v>4.3214285714285712</v>
          </cell>
          <cell r="J12">
            <v>3.4838709677419355</v>
          </cell>
          <cell r="K12">
            <v>3.7</v>
          </cell>
          <cell r="L12">
            <v>4.5483870967741939</v>
          </cell>
          <cell r="M12">
            <v>5.9333333333333336</v>
          </cell>
          <cell r="N12">
            <v>5.5161290322580649</v>
          </cell>
          <cell r="O12">
            <v>5.4516129032258061</v>
          </cell>
          <cell r="P12">
            <v>4.9000000000000004</v>
          </cell>
          <cell r="Q12">
            <v>4.193548387096774</v>
          </cell>
          <cell r="R12">
            <v>5.4</v>
          </cell>
          <cell r="S12">
            <v>6</v>
          </cell>
          <cell r="T12">
            <v>4.5806451612903221</v>
          </cell>
          <cell r="U12">
            <v>4.7586206896551726</v>
          </cell>
          <cell r="V12">
            <v>5.193548387096774</v>
          </cell>
          <cell r="W12">
            <v>5.2</v>
          </cell>
          <cell r="X12">
            <v>5.709677419354839</v>
          </cell>
          <cell r="Y12">
            <v>5.3</v>
          </cell>
          <cell r="Z12">
            <v>5.096774193548387</v>
          </cell>
          <cell r="AA12">
            <v>5.096774193548387</v>
          </cell>
          <cell r="AB12">
            <v>4.666666666666667</v>
          </cell>
          <cell r="AC12">
            <v>5.4516129032258061</v>
          </cell>
          <cell r="AD12">
            <v>6</v>
          </cell>
          <cell r="AE12">
            <v>5.2580645161290311</v>
          </cell>
          <cell r="AF12">
            <v>4.741935483870968</v>
          </cell>
          <cell r="AG12">
            <v>5.1785714285714279</v>
          </cell>
          <cell r="AH12">
            <v>5.5483870967741939</v>
          </cell>
          <cell r="AI12">
            <v>5.5333333333333332</v>
          </cell>
          <cell r="AJ12">
            <v>5.806451612903226</v>
          </cell>
          <cell r="AK12">
            <v>5.9333333333333336</v>
          </cell>
          <cell r="AL12">
            <v>5.258064516129032</v>
          </cell>
          <cell r="AM12">
            <v>4.967741935483871</v>
          </cell>
          <cell r="AN12">
            <v>2.7</v>
          </cell>
          <cell r="AO12">
            <v>3.5161290322580649</v>
          </cell>
          <cell r="AP12">
            <v>4.5</v>
          </cell>
          <cell r="AQ12">
            <v>4.032258064516129</v>
          </cell>
          <cell r="AR12">
            <v>2.903225806451613</v>
          </cell>
          <cell r="AS12">
            <v>2.8214285714285712</v>
          </cell>
          <cell r="AT12">
            <v>2.8387096774193545</v>
          </cell>
          <cell r="AU12">
            <v>4.5</v>
          </cell>
          <cell r="AV12">
            <v>5.4838709677419359</v>
          </cell>
          <cell r="AW12">
            <v>5.4666666666666668</v>
          </cell>
        </row>
        <row r="13">
          <cell r="A13" t="str">
            <v>EliotCommunityHS/JamPlain/281HydePk</v>
          </cell>
          <cell r="B13">
            <v>5</v>
          </cell>
          <cell r="C13">
            <v>7.258064516129032</v>
          </cell>
          <cell r="D13">
            <v>9.3666666666666654</v>
          </cell>
          <cell r="E13">
            <v>5.838709677419355</v>
          </cell>
          <cell r="F13">
            <v>9.5</v>
          </cell>
          <cell r="G13">
            <v>6.6451612903225792</v>
          </cell>
          <cell r="H13">
            <v>5.2580645161290311</v>
          </cell>
          <cell r="I13">
            <v>9.928571428571427</v>
          </cell>
          <cell r="J13">
            <v>10.935483870967742</v>
          </cell>
          <cell r="K13">
            <v>8.5666666666666664</v>
          </cell>
          <cell r="L13">
            <v>11.258064516129032</v>
          </cell>
          <cell r="M13">
            <v>11.066666666666666</v>
          </cell>
          <cell r="N13">
            <v>10.387096774193548</v>
          </cell>
          <cell r="O13">
            <v>10.290322580645162</v>
          </cell>
          <cell r="P13">
            <v>9.6999999999999993</v>
          </cell>
          <cell r="Q13">
            <v>11.548387096774194</v>
          </cell>
          <cell r="R13">
            <v>3.5333333333333337</v>
          </cell>
          <cell r="S13">
            <v>9.0322580645161299</v>
          </cell>
          <cell r="T13">
            <v>10.161290322580644</v>
          </cell>
          <cell r="U13">
            <v>11.620689655172416</v>
          </cell>
          <cell r="V13">
            <v>8.6451612903225836</v>
          </cell>
          <cell r="W13">
            <v>0.53333333333333333</v>
          </cell>
        </row>
        <row r="14">
          <cell r="A14" t="str">
            <v>EliotCommunityHS/Lynn/12OrchardSt</v>
          </cell>
          <cell r="C14">
            <v>3.129032258064516</v>
          </cell>
          <cell r="D14">
            <v>3.4333333333333331</v>
          </cell>
          <cell r="E14">
            <v>4.2258064516129039</v>
          </cell>
          <cell r="F14">
            <v>4.8</v>
          </cell>
          <cell r="G14">
            <v>4.709677419354839</v>
          </cell>
          <cell r="H14">
            <v>3.741935483870968</v>
          </cell>
          <cell r="I14">
            <v>5.7142857142857135</v>
          </cell>
          <cell r="J14">
            <v>5.6451612903225801</v>
          </cell>
          <cell r="K14">
            <v>4.5333333333333332</v>
          </cell>
          <cell r="L14">
            <v>4.4516129032258061</v>
          </cell>
          <cell r="M14">
            <v>4.666666666666667</v>
          </cell>
          <cell r="N14">
            <v>3.967741935483871</v>
          </cell>
          <cell r="O14">
            <v>4.3548387096774199</v>
          </cell>
          <cell r="P14">
            <v>2.9666666666666663</v>
          </cell>
          <cell r="Q14">
            <v>5.935483870967742</v>
          </cell>
          <cell r="R14">
            <v>4</v>
          </cell>
          <cell r="S14">
            <v>3.064516129032258</v>
          </cell>
          <cell r="T14">
            <v>3.935483870967742</v>
          </cell>
          <cell r="U14">
            <v>2.2758620689655173</v>
          </cell>
          <cell r="V14">
            <v>3.064516129032258</v>
          </cell>
          <cell r="W14">
            <v>3.0333333333333332</v>
          </cell>
          <cell r="X14">
            <v>2.6774193548387095</v>
          </cell>
          <cell r="Y14">
            <v>4.8666666666666671</v>
          </cell>
          <cell r="Z14">
            <v>3.935483870967742</v>
          </cell>
          <cell r="AA14">
            <v>3.5806451612903225</v>
          </cell>
          <cell r="AB14">
            <v>4.5333333333333332</v>
          </cell>
          <cell r="AC14">
            <v>5.32258064516129</v>
          </cell>
          <cell r="AD14">
            <v>3.0666666666666669</v>
          </cell>
          <cell r="AE14">
            <v>2</v>
          </cell>
          <cell r="AF14">
            <v>4.129032258064516</v>
          </cell>
          <cell r="AG14">
            <v>4.4285714285714288</v>
          </cell>
          <cell r="AH14">
            <v>5</v>
          </cell>
          <cell r="AI14">
            <v>4.4333333333333336</v>
          </cell>
          <cell r="AJ14">
            <v>5.5161290322580641</v>
          </cell>
          <cell r="AK14">
            <v>3.333333333333333</v>
          </cell>
          <cell r="AL14">
            <v>4.774193548387097</v>
          </cell>
          <cell r="AM14">
            <v>4.6774193548387091</v>
          </cell>
          <cell r="AN14">
            <v>5.3</v>
          </cell>
          <cell r="AO14">
            <v>4.6451612903225801</v>
          </cell>
          <cell r="AP14">
            <v>3.5</v>
          </cell>
          <cell r="AQ14">
            <v>2.6129032258064515</v>
          </cell>
          <cell r="AR14">
            <v>5.6129032258064511</v>
          </cell>
          <cell r="AS14">
            <v>2.7857142857142856</v>
          </cell>
          <cell r="AT14">
            <v>4.096774193548387</v>
          </cell>
          <cell r="AU14">
            <v>4.7666666666666666</v>
          </cell>
          <cell r="AV14">
            <v>5.5806451612903221</v>
          </cell>
          <cell r="AW14">
            <v>4.0666666666666673</v>
          </cell>
        </row>
        <row r="15">
          <cell r="A15" t="str">
            <v>EliotCommunityHS/Medford/159Allston</v>
          </cell>
          <cell r="B15">
            <v>5.6451612903225801</v>
          </cell>
          <cell r="C15">
            <v>6.8387096774193541</v>
          </cell>
          <cell r="D15">
            <v>3.9666666666666668</v>
          </cell>
          <cell r="E15">
            <v>5.129032258064516</v>
          </cell>
          <cell r="F15">
            <v>7.0333333333333341</v>
          </cell>
          <cell r="G15">
            <v>7.1290322580645151</v>
          </cell>
          <cell r="H15">
            <v>6.4516129032258052</v>
          </cell>
          <cell r="I15">
            <v>6.5357142857142865</v>
          </cell>
          <cell r="J15">
            <v>7.838709677419355</v>
          </cell>
          <cell r="K15">
            <v>7.3666666666666671</v>
          </cell>
          <cell r="L15">
            <v>6.8064516129032251</v>
          </cell>
          <cell r="M15">
            <v>7.2</v>
          </cell>
          <cell r="N15">
            <v>7.129032258064516</v>
          </cell>
          <cell r="O15">
            <v>6.5483870967741931</v>
          </cell>
          <cell r="P15">
            <v>4.5</v>
          </cell>
          <cell r="Q15">
            <v>5.9677419354838701</v>
          </cell>
          <cell r="R15">
            <v>5.166666666666667</v>
          </cell>
          <cell r="S15">
            <v>6.8387096774193541</v>
          </cell>
          <cell r="T15">
            <v>7.1612903225806459</v>
          </cell>
          <cell r="U15">
            <v>3</v>
          </cell>
          <cell r="V15">
            <v>6.064516129032258</v>
          </cell>
          <cell r="W15">
            <v>6.9666666666666668</v>
          </cell>
          <cell r="X15">
            <v>7.1290322580645169</v>
          </cell>
          <cell r="Y15">
            <v>6.2</v>
          </cell>
          <cell r="Z15">
            <v>5.8709677419354831</v>
          </cell>
          <cell r="AA15">
            <v>7.8709677419354849</v>
          </cell>
          <cell r="AB15">
            <v>7.0333333333333332</v>
          </cell>
          <cell r="AC15">
            <v>5.5806451612903221</v>
          </cell>
          <cell r="AD15">
            <v>4.0666666666666664</v>
          </cell>
          <cell r="AE15">
            <v>5.935483870967742</v>
          </cell>
          <cell r="AF15">
            <v>6.903225806451613</v>
          </cell>
          <cell r="AG15">
            <v>6.0714285714285712</v>
          </cell>
          <cell r="AH15">
            <v>7.3870967741935489</v>
          </cell>
          <cell r="AI15">
            <v>6.8</v>
          </cell>
          <cell r="AJ15">
            <v>7.806451612903226</v>
          </cell>
          <cell r="AK15">
            <v>6.3333333333333321</v>
          </cell>
          <cell r="AL15">
            <v>7.1290322580645151</v>
          </cell>
          <cell r="AM15">
            <v>6.6129032258064511</v>
          </cell>
          <cell r="AN15">
            <v>5</v>
          </cell>
          <cell r="AO15">
            <v>7.5483870967741931</v>
          </cell>
          <cell r="AP15">
            <v>6.8666666666666663</v>
          </cell>
          <cell r="AQ15">
            <v>6.8064516129032269</v>
          </cell>
          <cell r="AR15">
            <v>6.8064516129032242</v>
          </cell>
          <cell r="AS15">
            <v>7.2857142857142865</v>
          </cell>
          <cell r="AT15">
            <v>4.9677419354838701</v>
          </cell>
          <cell r="AU15">
            <v>6.2</v>
          </cell>
          <cell r="AV15">
            <v>6.032258064516129</v>
          </cell>
          <cell r="AW15">
            <v>7.166666666666667</v>
          </cell>
        </row>
        <row r="16">
          <cell r="A16" t="str">
            <v>EliotCommunityHS/NewBedford/163Coun</v>
          </cell>
          <cell r="E16">
            <v>0.61290322580645151</v>
          </cell>
          <cell r="F16">
            <v>6.4333333333333336</v>
          </cell>
          <cell r="G16">
            <v>6.9677419354838719</v>
          </cell>
          <cell r="H16">
            <v>5.5161290322580649</v>
          </cell>
          <cell r="I16">
            <v>5.9642857142857144</v>
          </cell>
          <cell r="J16">
            <v>7.1935483870967749</v>
          </cell>
          <cell r="K16">
            <v>7.4333333333333336</v>
          </cell>
          <cell r="L16">
            <v>4.935483870967742</v>
          </cell>
          <cell r="M16">
            <v>5.4333333333333336</v>
          </cell>
          <cell r="N16">
            <v>7.064516129032258</v>
          </cell>
          <cell r="O16">
            <v>7.645161290322581</v>
          </cell>
          <cell r="P16">
            <v>8.0333333333333332</v>
          </cell>
          <cell r="Q16">
            <v>7</v>
          </cell>
          <cell r="R16">
            <v>7.1</v>
          </cell>
          <cell r="S16">
            <v>6.935483870967742</v>
          </cell>
          <cell r="T16">
            <v>7.4838709677419351</v>
          </cell>
          <cell r="U16">
            <v>6.6896551724137927</v>
          </cell>
          <cell r="V16">
            <v>6.6129032258064511</v>
          </cell>
          <cell r="W16">
            <v>6.7333333333333325</v>
          </cell>
          <cell r="X16">
            <v>7.9354838709677429</v>
          </cell>
          <cell r="Y16">
            <v>7.7</v>
          </cell>
          <cell r="Z16">
            <v>6.7096774193548381</v>
          </cell>
          <cell r="AA16">
            <v>7.806451612903226</v>
          </cell>
          <cell r="AB16">
            <v>7.9</v>
          </cell>
          <cell r="AC16">
            <v>7.5161290322580649</v>
          </cell>
          <cell r="AD16">
            <v>5.7</v>
          </cell>
          <cell r="AE16">
            <v>4.838709677419355</v>
          </cell>
          <cell r="AF16">
            <v>6.5161290322580649</v>
          </cell>
          <cell r="AG16">
            <v>7.0714285714285703</v>
          </cell>
          <cell r="AH16">
            <v>7.161290322580645</v>
          </cell>
          <cell r="AI16">
            <v>6.833333333333333</v>
          </cell>
          <cell r="AJ16">
            <v>6</v>
          </cell>
          <cell r="AK16">
            <v>7.5333333333333332</v>
          </cell>
          <cell r="AL16">
            <v>7.580645161290323</v>
          </cell>
          <cell r="AM16">
            <v>5.9032258064516121</v>
          </cell>
          <cell r="AN16">
            <v>5.8666666666666671</v>
          </cell>
          <cell r="AO16">
            <v>5.32258064516129</v>
          </cell>
          <cell r="AP16">
            <v>5.8333333333333339</v>
          </cell>
          <cell r="AQ16">
            <v>5.903225806451613</v>
          </cell>
          <cell r="AR16">
            <v>6.5483870967741931</v>
          </cell>
          <cell r="AS16">
            <v>7</v>
          </cell>
          <cell r="AT16">
            <v>6.0322580645161281</v>
          </cell>
          <cell r="AU16">
            <v>5.4666666666666659</v>
          </cell>
          <cell r="AV16">
            <v>6.6451612903225801</v>
          </cell>
          <cell r="AW16">
            <v>7.333333333333333</v>
          </cell>
        </row>
        <row r="17">
          <cell r="A17" t="str">
            <v>EliotCommunityHS/Wakefield/18 Lafay</v>
          </cell>
          <cell r="F17">
            <v>0.93333333333333335</v>
          </cell>
          <cell r="G17">
            <v>4.129032258064516</v>
          </cell>
          <cell r="H17">
            <v>3.6129032258064511</v>
          </cell>
          <cell r="I17">
            <v>4.2142857142857144</v>
          </cell>
          <cell r="J17">
            <v>4.2580645161290329</v>
          </cell>
          <cell r="K17">
            <v>4.0666666666666664</v>
          </cell>
          <cell r="L17">
            <v>3.8387096774193545</v>
          </cell>
          <cell r="M17">
            <v>4.166666666666667</v>
          </cell>
          <cell r="N17">
            <v>4.741935483870968</v>
          </cell>
          <cell r="O17">
            <v>4</v>
          </cell>
          <cell r="P17">
            <v>3.9333333333333336</v>
          </cell>
          <cell r="Q17">
            <v>4.064516129032258</v>
          </cell>
          <cell r="R17">
            <v>4.7</v>
          </cell>
          <cell r="S17">
            <v>3.967741935483871</v>
          </cell>
          <cell r="T17">
            <v>4.225806451612903</v>
          </cell>
          <cell r="U17">
            <v>4.9655172413793105</v>
          </cell>
          <cell r="V17">
            <v>3.8709677419354835</v>
          </cell>
          <cell r="W17">
            <v>4.833333333333333</v>
          </cell>
          <cell r="X17">
            <v>3.3548387096774195</v>
          </cell>
          <cell r="Y17">
            <v>4.4333333333333336</v>
          </cell>
          <cell r="Z17">
            <v>5.8064516129032251</v>
          </cell>
          <cell r="AA17">
            <v>4.032258064516129</v>
          </cell>
          <cell r="AB17">
            <v>2.9333333333333336</v>
          </cell>
          <cell r="AC17">
            <v>4.741935483870968</v>
          </cell>
          <cell r="AD17">
            <v>4.3666666666666671</v>
          </cell>
          <cell r="AE17">
            <v>4.290322580645161</v>
          </cell>
          <cell r="AF17">
            <v>4.225806451612903</v>
          </cell>
          <cell r="AG17">
            <v>3.5</v>
          </cell>
          <cell r="AH17">
            <v>4.5483870967741939</v>
          </cell>
          <cell r="AI17">
            <v>3.7666666666666666</v>
          </cell>
          <cell r="AJ17">
            <v>4.4838709677419359</v>
          </cell>
          <cell r="AK17">
            <v>3.9333333333333336</v>
          </cell>
          <cell r="AL17">
            <v>4.032258064516129</v>
          </cell>
          <cell r="AM17">
            <v>2.9032258064516125</v>
          </cell>
          <cell r="AN17">
            <v>3.6333333333333333</v>
          </cell>
          <cell r="AO17">
            <v>4.709677419354839</v>
          </cell>
          <cell r="AP17">
            <v>4.1666666666666661</v>
          </cell>
          <cell r="AQ17">
            <v>4.258064516129032</v>
          </cell>
          <cell r="AR17">
            <v>3.7096774193548385</v>
          </cell>
          <cell r="AS17">
            <v>4.2857142857142856</v>
          </cell>
          <cell r="AT17">
            <v>4.290322580645161</v>
          </cell>
          <cell r="AU17">
            <v>4.3</v>
          </cell>
          <cell r="AV17">
            <v>4.5161290322580641</v>
          </cell>
          <cell r="AW17">
            <v>4.5</v>
          </cell>
        </row>
        <row r="18">
          <cell r="A18" t="str">
            <v>Gandara / Greenfield / 107 Conway</v>
          </cell>
          <cell r="F18">
            <v>2.2333333333333334</v>
          </cell>
          <cell r="G18">
            <v>1.129032258064516</v>
          </cell>
          <cell r="H18">
            <v>0.5161290322580645</v>
          </cell>
          <cell r="I18">
            <v>1.75</v>
          </cell>
          <cell r="J18">
            <v>5.387096774193548</v>
          </cell>
          <cell r="K18">
            <v>6.8</v>
          </cell>
          <cell r="L18">
            <v>5.8709677419354831</v>
          </cell>
          <cell r="M18">
            <v>4.8666666666666671</v>
          </cell>
          <cell r="N18">
            <v>7.9032258064516112</v>
          </cell>
          <cell r="O18">
            <v>8.7741935483870961</v>
          </cell>
          <cell r="P18">
            <v>9.1333333333333329</v>
          </cell>
          <cell r="Q18">
            <v>9.2903225806451601</v>
          </cell>
          <cell r="R18">
            <v>10.633333333333335</v>
          </cell>
          <cell r="S18">
            <v>10.096774193548388</v>
          </cell>
          <cell r="T18">
            <v>9.1612903225806441</v>
          </cell>
          <cell r="U18">
            <v>9.4482758620689662</v>
          </cell>
          <cell r="V18">
            <v>10.935483870967742</v>
          </cell>
          <cell r="W18">
            <v>9.7666666666666657</v>
          </cell>
          <cell r="X18">
            <v>10.516129032258064</v>
          </cell>
          <cell r="Y18">
            <v>10.4</v>
          </cell>
          <cell r="Z18">
            <v>10.70967741935484</v>
          </cell>
          <cell r="AA18">
            <v>11.35483870967742</v>
          </cell>
          <cell r="AB18">
            <v>10.166666666666664</v>
          </cell>
          <cell r="AC18">
            <v>10.677419354838708</v>
          </cell>
          <cell r="AD18">
            <v>10.733333333333336</v>
          </cell>
          <cell r="AE18">
            <v>10.806451612903224</v>
          </cell>
          <cell r="AF18">
            <v>10.64516129032258</v>
          </cell>
          <cell r="AG18">
            <v>9.2142857142857153</v>
          </cell>
          <cell r="AH18">
            <v>9.193548387096774</v>
          </cell>
          <cell r="AI18">
            <v>10.733333333333333</v>
          </cell>
          <cell r="AJ18">
            <v>11.483870967741936</v>
          </cell>
          <cell r="AK18">
            <v>9.0333333333333332</v>
          </cell>
          <cell r="AL18">
            <v>8.7741935483870961</v>
          </cell>
          <cell r="AM18">
            <v>9.7096774193548399</v>
          </cell>
          <cell r="AN18">
            <v>9.6333333333333329</v>
          </cell>
          <cell r="AO18">
            <v>10.580645161290322</v>
          </cell>
          <cell r="AP18">
            <v>10.766666666666667</v>
          </cell>
          <cell r="AQ18">
            <v>10</v>
          </cell>
          <cell r="AR18">
            <v>9.32258064516129</v>
          </cell>
          <cell r="AS18">
            <v>10.535714285714285</v>
          </cell>
          <cell r="AT18">
            <v>11.387096774193548</v>
          </cell>
          <cell r="AU18">
            <v>13.666666666666668</v>
          </cell>
          <cell r="AV18">
            <v>11.709677419354838</v>
          </cell>
          <cell r="AW18">
            <v>13.8</v>
          </cell>
        </row>
        <row r="19">
          <cell r="A19" t="str">
            <v>Gandara / Holyoke / 27-29 Canby St</v>
          </cell>
          <cell r="F19">
            <v>2.8333333333333335</v>
          </cell>
          <cell r="G19">
            <v>2.774193548387097</v>
          </cell>
          <cell r="H19">
            <v>2.161290322580645</v>
          </cell>
          <cell r="I19">
            <v>3.3571428571428572</v>
          </cell>
          <cell r="J19">
            <v>6.9354838709677411</v>
          </cell>
          <cell r="K19">
            <v>11.433333333333332</v>
          </cell>
          <cell r="L19">
            <v>9.4193548387096744</v>
          </cell>
          <cell r="M19">
            <v>11.533333333333335</v>
          </cell>
          <cell r="N19">
            <v>10.838709677419354</v>
          </cell>
          <cell r="O19">
            <v>10.612903225806454</v>
          </cell>
          <cell r="P19">
            <v>10.733333333333336</v>
          </cell>
          <cell r="Q19">
            <v>11.064516129032256</v>
          </cell>
          <cell r="R19">
            <v>11.5</v>
          </cell>
          <cell r="S19">
            <v>11.806451612903224</v>
          </cell>
          <cell r="T19">
            <v>11.806451612903226</v>
          </cell>
          <cell r="U19">
            <v>11.724137931034482</v>
          </cell>
          <cell r="V19">
            <v>11.774193548387094</v>
          </cell>
          <cell r="W19">
            <v>11.7</v>
          </cell>
          <cell r="X19">
            <v>11.70967741935484</v>
          </cell>
          <cell r="Y19">
            <v>10.933333333333332</v>
          </cell>
          <cell r="Z19">
            <v>11.548387096774192</v>
          </cell>
          <cell r="AA19">
            <v>11.451612903225806</v>
          </cell>
          <cell r="AB19">
            <v>11.366666666666665</v>
          </cell>
          <cell r="AC19">
            <v>11.935483870967742</v>
          </cell>
          <cell r="AD19">
            <v>12.3</v>
          </cell>
          <cell r="AE19">
            <v>11.451612903225806</v>
          </cell>
          <cell r="AF19">
            <v>10.838709677419354</v>
          </cell>
          <cell r="AG19">
            <v>10.821428571428571</v>
          </cell>
          <cell r="AH19">
            <v>10.870967741935484</v>
          </cell>
          <cell r="AI19">
            <v>9.1</v>
          </cell>
          <cell r="AJ19">
            <v>10.838709677419354</v>
          </cell>
          <cell r="AK19">
            <v>10.3</v>
          </cell>
          <cell r="AL19">
            <v>11.41935483870968</v>
          </cell>
          <cell r="AM19">
            <v>11.03225806451613</v>
          </cell>
          <cell r="AN19">
            <v>10.666666666666666</v>
          </cell>
          <cell r="AO19">
            <v>11</v>
          </cell>
          <cell r="AP19">
            <v>11.4</v>
          </cell>
          <cell r="AQ19">
            <v>9.4838709677419359</v>
          </cell>
          <cell r="AR19">
            <v>10.774193548387096</v>
          </cell>
          <cell r="AS19">
            <v>10.607142857142858</v>
          </cell>
          <cell r="AT19">
            <v>12</v>
          </cell>
          <cell r="AU19">
            <v>13.5</v>
          </cell>
          <cell r="AV19">
            <v>13.129032258064516</v>
          </cell>
          <cell r="AW19">
            <v>13.166666666666666</v>
          </cell>
        </row>
        <row r="20">
          <cell r="A20" t="str">
            <v>Gandara / Springfield / 25 Moorland</v>
          </cell>
          <cell r="G20">
            <v>2</v>
          </cell>
          <cell r="H20">
            <v>7.6129032258064511</v>
          </cell>
          <cell r="I20">
            <v>7.4285714285714288</v>
          </cell>
          <cell r="J20">
            <v>8.870967741935484</v>
          </cell>
          <cell r="K20">
            <v>8.5</v>
          </cell>
          <cell r="L20">
            <v>6.0645161290322589</v>
          </cell>
          <cell r="M20">
            <v>6.9333333333333327</v>
          </cell>
          <cell r="N20">
            <v>6.258064516129032</v>
          </cell>
          <cell r="O20">
            <v>7.1612903225806441</v>
          </cell>
          <cell r="P20">
            <v>9.4666666666666668</v>
          </cell>
          <cell r="Q20">
            <v>8.1612903225806459</v>
          </cell>
          <cell r="R20">
            <v>7.8333333333333348</v>
          </cell>
          <cell r="S20">
            <v>8.0645161290322598</v>
          </cell>
          <cell r="T20">
            <v>8</v>
          </cell>
          <cell r="U20">
            <v>7.9655172413793114</v>
          </cell>
          <cell r="V20">
            <v>7.6451612903225792</v>
          </cell>
          <cell r="W20">
            <v>8.1333333333333329</v>
          </cell>
          <cell r="X20">
            <v>8.7741935483870961</v>
          </cell>
          <cell r="Y20">
            <v>8.2666666666666657</v>
          </cell>
          <cell r="Z20">
            <v>7.419354838709677</v>
          </cell>
          <cell r="AA20">
            <v>8.0322580645161281</v>
          </cell>
          <cell r="AB20">
            <v>8.5</v>
          </cell>
          <cell r="AC20">
            <v>9.8387096774193559</v>
          </cell>
          <cell r="AD20">
            <v>9.3666666666666671</v>
          </cell>
          <cell r="AE20">
            <v>8.0322580645161281</v>
          </cell>
          <cell r="AF20">
            <v>6.354838709677419</v>
          </cell>
          <cell r="AG20">
            <v>7.5714285714285703</v>
          </cell>
          <cell r="AH20">
            <v>7.032258064516129</v>
          </cell>
          <cell r="AI20">
            <v>8.2666666666666675</v>
          </cell>
          <cell r="AJ20">
            <v>8.3548387096774199</v>
          </cell>
          <cell r="AK20">
            <v>9.9333333333333336</v>
          </cell>
          <cell r="AL20">
            <v>8.9032258064516121</v>
          </cell>
          <cell r="AM20">
            <v>8.6451612903225801</v>
          </cell>
          <cell r="AN20">
            <v>8.4</v>
          </cell>
          <cell r="AO20">
            <v>8.5483870967741939</v>
          </cell>
          <cell r="AP20">
            <v>7.5333333333333332</v>
          </cell>
          <cell r="AQ20">
            <v>7.354838709677419</v>
          </cell>
          <cell r="AR20">
            <v>7.0967741935483861</v>
          </cell>
          <cell r="AS20">
            <v>6.3928571428571423</v>
          </cell>
          <cell r="AT20">
            <v>7.4838709677419359</v>
          </cell>
          <cell r="AU20">
            <v>8.3333333333333321</v>
          </cell>
          <cell r="AV20">
            <v>7.6774193548387091</v>
          </cell>
          <cell r="AW20">
            <v>7.3666666666666663</v>
          </cell>
        </row>
        <row r="21">
          <cell r="A21" t="str">
            <v>Gandara / Springfield / 353 MapleSt</v>
          </cell>
          <cell r="F21">
            <v>5.2</v>
          </cell>
          <cell r="G21">
            <v>8.935483870967742</v>
          </cell>
          <cell r="H21">
            <v>10.903225806451612</v>
          </cell>
          <cell r="I21">
            <v>9.3571428571428577</v>
          </cell>
          <cell r="J21">
            <v>7.4516129032258061</v>
          </cell>
          <cell r="K21">
            <v>10.9</v>
          </cell>
          <cell r="L21">
            <v>10.677419354838712</v>
          </cell>
          <cell r="M21">
            <v>13.3</v>
          </cell>
          <cell r="N21">
            <v>13.612903225806452</v>
          </cell>
          <cell r="O21">
            <v>14.03225806451613</v>
          </cell>
          <cell r="P21">
            <v>14.633333333333335</v>
          </cell>
          <cell r="Q21">
            <v>14.838709677419354</v>
          </cell>
          <cell r="R21">
            <v>14.666666666666666</v>
          </cell>
          <cell r="S21">
            <v>10.903225806451612</v>
          </cell>
          <cell r="T21">
            <v>12.774193548387094</v>
          </cell>
          <cell r="U21">
            <v>14.310344827586206</v>
          </cell>
          <cell r="V21">
            <v>14.548387096774192</v>
          </cell>
          <cell r="W21">
            <v>14.9</v>
          </cell>
          <cell r="X21">
            <v>14.935483870967742</v>
          </cell>
          <cell r="Y21">
            <v>14.933333333333334</v>
          </cell>
          <cell r="Z21">
            <v>14.96774193548387</v>
          </cell>
          <cell r="AA21">
            <v>14.322580645161288</v>
          </cell>
          <cell r="AB21">
            <v>14.566666666666668</v>
          </cell>
          <cell r="AC21">
            <v>14.258064516129032</v>
          </cell>
          <cell r="AD21">
            <v>13.933333333333334</v>
          </cell>
          <cell r="AE21">
            <v>14.64516129032258</v>
          </cell>
          <cell r="AF21">
            <v>14.193548387096776</v>
          </cell>
          <cell r="AG21">
            <v>14.321428571428571</v>
          </cell>
          <cell r="AH21">
            <v>14.483870967741934</v>
          </cell>
          <cell r="AI21">
            <v>14.766666666666667</v>
          </cell>
          <cell r="AJ21">
            <v>14.483870967741934</v>
          </cell>
          <cell r="AK21">
            <v>14.866666666666669</v>
          </cell>
          <cell r="AL21">
            <v>14.967741935483872</v>
          </cell>
          <cell r="AM21">
            <v>14.870967741935484</v>
          </cell>
          <cell r="AN21">
            <v>14.333333333333332</v>
          </cell>
          <cell r="AO21">
            <v>14.58064516129032</v>
          </cell>
          <cell r="AP21">
            <v>13.833333333333336</v>
          </cell>
          <cell r="AQ21">
            <v>13.2258064516129</v>
          </cell>
          <cell r="AR21">
            <v>12.903225806451612</v>
          </cell>
          <cell r="AS21">
            <v>14.428571428571429</v>
          </cell>
          <cell r="AT21">
            <v>16.290322580645164</v>
          </cell>
          <cell r="AU21">
            <v>17.733333333333338</v>
          </cell>
          <cell r="AV21">
            <v>16.838709677419356</v>
          </cell>
          <cell r="AW21">
            <v>17.5</v>
          </cell>
        </row>
        <row r="22">
          <cell r="A22" t="str">
            <v>GermaineLawrence/Arlington/18Clarem</v>
          </cell>
          <cell r="D22">
            <v>7.6333333333333337</v>
          </cell>
          <cell r="E22">
            <v>8.4193548387096779</v>
          </cell>
          <cell r="F22">
            <v>7.8666666666666671</v>
          </cell>
          <cell r="G22">
            <v>7.2903225806451619</v>
          </cell>
          <cell r="H22">
            <v>8.5483870967741922</v>
          </cell>
          <cell r="I22">
            <v>8.1071428571428577</v>
          </cell>
          <cell r="J22">
            <v>8.935483870967742</v>
          </cell>
          <cell r="K22">
            <v>9.0333333333333332</v>
          </cell>
          <cell r="L22">
            <v>11.354838709677422</v>
          </cell>
          <cell r="M22">
            <v>11.9</v>
          </cell>
          <cell r="N22">
            <v>12.096774193548386</v>
          </cell>
          <cell r="O22">
            <v>11.709677419354838</v>
          </cell>
          <cell r="P22">
            <v>7.6</v>
          </cell>
          <cell r="Q22">
            <v>11.67741935483871</v>
          </cell>
          <cell r="R22">
            <v>10.9</v>
          </cell>
          <cell r="S22">
            <v>11</v>
          </cell>
          <cell r="T22">
            <v>10.935483870967742</v>
          </cell>
          <cell r="U22">
            <v>11.862068965517238</v>
          </cell>
          <cell r="V22">
            <v>11.483870967741938</v>
          </cell>
          <cell r="W22">
            <v>12.2</v>
          </cell>
          <cell r="X22">
            <v>10.935483870967742</v>
          </cell>
          <cell r="Y22">
            <v>10.366666666666667</v>
          </cell>
          <cell r="Z22">
            <v>11.74193548387097</v>
          </cell>
          <cell r="AA22">
            <v>12.32258064516129</v>
          </cell>
          <cell r="AB22">
            <v>10.266666666666666</v>
          </cell>
          <cell r="AC22">
            <v>9.7419354838709697</v>
          </cell>
          <cell r="AD22">
            <v>10.866666666666667</v>
          </cell>
          <cell r="AE22">
            <v>9.2258064516129039</v>
          </cell>
          <cell r="AF22">
            <v>10.61290322580645</v>
          </cell>
          <cell r="AG22">
            <v>9.6785714285714288</v>
          </cell>
          <cell r="AH22">
            <v>11.903225806451614</v>
          </cell>
          <cell r="AI22">
            <v>12.233333333333333</v>
          </cell>
          <cell r="AJ22">
            <v>12.483870967741934</v>
          </cell>
          <cell r="AK22">
            <v>11.633333333333333</v>
          </cell>
          <cell r="AL22">
            <v>12.032258064516128</v>
          </cell>
          <cell r="AM22">
            <v>10.419354838709676</v>
          </cell>
          <cell r="AN22">
            <v>10.466666666666669</v>
          </cell>
          <cell r="AO22">
            <v>11.548387096774196</v>
          </cell>
          <cell r="AP22">
            <v>10.6</v>
          </cell>
          <cell r="AQ22">
            <v>11.64516129032258</v>
          </cell>
          <cell r="AR22">
            <v>11.35483870967742</v>
          </cell>
          <cell r="AS22">
            <v>12</v>
          </cell>
          <cell r="AT22">
            <v>11.483870967741936</v>
          </cell>
          <cell r="AU22">
            <v>11.4</v>
          </cell>
          <cell r="AV22">
            <v>12.161290322580644</v>
          </cell>
          <cell r="AW22">
            <v>11.7</v>
          </cell>
        </row>
        <row r="23">
          <cell r="A23" t="str">
            <v>Harbor Schools/ Merrimac /100W.Main</v>
          </cell>
          <cell r="C23">
            <v>0.35483870967741937</v>
          </cell>
          <cell r="D23">
            <v>5.3</v>
          </cell>
          <cell r="E23">
            <v>7.064516129032258</v>
          </cell>
          <cell r="F23">
            <v>7.5</v>
          </cell>
          <cell r="G23">
            <v>6.6451612903225801</v>
          </cell>
          <cell r="H23">
            <v>8.6451612903225801</v>
          </cell>
          <cell r="I23">
            <v>6.5714285714285721</v>
          </cell>
          <cell r="J23">
            <v>9.3225806451612883</v>
          </cell>
          <cell r="K23">
            <v>10.666666666666668</v>
          </cell>
          <cell r="L23">
            <v>11.258064516129032</v>
          </cell>
          <cell r="M23">
            <v>9.5666666666666664</v>
          </cell>
          <cell r="N23">
            <v>10.903225806451614</v>
          </cell>
          <cell r="O23">
            <v>10.451612903225804</v>
          </cell>
          <cell r="P23">
            <v>10.5</v>
          </cell>
          <cell r="Q23">
            <v>9.387096774193548</v>
          </cell>
          <cell r="R23">
            <v>10.766666666666666</v>
          </cell>
          <cell r="S23">
            <v>9.7741935483870961</v>
          </cell>
          <cell r="T23">
            <v>10.258064516129034</v>
          </cell>
          <cell r="U23">
            <v>10.827586206896553</v>
          </cell>
          <cell r="V23">
            <v>11.064516129032258</v>
          </cell>
          <cell r="W23">
            <v>11.066666666666666</v>
          </cell>
          <cell r="X23">
            <v>11.516129032258064</v>
          </cell>
          <cell r="Y23">
            <v>11.533333333333333</v>
          </cell>
          <cell r="Z23">
            <v>11.129032258064516</v>
          </cell>
          <cell r="AA23">
            <v>10.709677419354838</v>
          </cell>
          <cell r="AB23">
            <v>11.466666666666667</v>
          </cell>
          <cell r="AC23">
            <v>11.741935483870968</v>
          </cell>
          <cell r="AD23">
            <v>11.5</v>
          </cell>
          <cell r="AE23">
            <v>11.645161290322582</v>
          </cell>
          <cell r="AF23">
            <v>11.096774193548388</v>
          </cell>
          <cell r="AG23">
            <v>11.75</v>
          </cell>
          <cell r="AH23">
            <v>11.258064516129034</v>
          </cell>
          <cell r="AI23">
            <v>11.666666666666666</v>
          </cell>
          <cell r="AJ23">
            <v>11.580645161290322</v>
          </cell>
          <cell r="AK23">
            <v>11.3</v>
          </cell>
          <cell r="AL23">
            <v>11.903225806451614</v>
          </cell>
          <cell r="AM23">
            <v>11.516129032258066</v>
          </cell>
          <cell r="AN23">
            <v>11.566666666666666</v>
          </cell>
          <cell r="AO23">
            <v>10.225806451612904</v>
          </cell>
          <cell r="AP23">
            <v>10.6</v>
          </cell>
          <cell r="AQ23">
            <v>9.870967741935484</v>
          </cell>
          <cell r="AR23">
            <v>8.064516129032258</v>
          </cell>
          <cell r="AS23">
            <v>10.928571428571429</v>
          </cell>
          <cell r="AT23">
            <v>10.774193548387098</v>
          </cell>
          <cell r="AU23">
            <v>10.566666666666666</v>
          </cell>
          <cell r="AV23">
            <v>11</v>
          </cell>
          <cell r="AW23">
            <v>10.199999999999999</v>
          </cell>
        </row>
        <row r="24">
          <cell r="A24" t="str">
            <v>Health and Education Services</v>
          </cell>
          <cell r="AR24">
            <v>6.4516129032258063E-2</v>
          </cell>
        </row>
        <row r="25">
          <cell r="A25" t="str">
            <v>HES / Beverly / 6 Echo Ave.</v>
          </cell>
          <cell r="B25">
            <v>3.4838709677419351</v>
          </cell>
          <cell r="C25">
            <v>8.4516129032258061</v>
          </cell>
          <cell r="D25">
            <v>8.4666666666666668</v>
          </cell>
          <cell r="E25">
            <v>8.6451612903225801</v>
          </cell>
          <cell r="F25">
            <v>10.6</v>
          </cell>
          <cell r="G25">
            <v>10.129032258064516</v>
          </cell>
          <cell r="H25">
            <v>11.32258064516129</v>
          </cell>
          <cell r="I25">
            <v>9.5714285714285712</v>
          </cell>
          <cell r="J25">
            <v>10.258064516129034</v>
          </cell>
          <cell r="K25">
            <v>9.6333333333333329</v>
          </cell>
          <cell r="L25">
            <v>10.93548387096774</v>
          </cell>
          <cell r="M25">
            <v>9.3333333333333321</v>
          </cell>
          <cell r="N25">
            <v>10.516129032258066</v>
          </cell>
          <cell r="O25">
            <v>10.516129032258064</v>
          </cell>
          <cell r="P25">
            <v>7.6333333333333337</v>
          </cell>
          <cell r="Q25">
            <v>9.3548387096774182</v>
          </cell>
          <cell r="R25">
            <v>7.5</v>
          </cell>
          <cell r="S25">
            <v>9.387096774193548</v>
          </cell>
          <cell r="T25">
            <v>8.258064516129032</v>
          </cell>
          <cell r="U25">
            <v>8.8965517241379288</v>
          </cell>
          <cell r="V25">
            <v>6.5161290322580641</v>
          </cell>
          <cell r="W25">
            <v>8.5</v>
          </cell>
          <cell r="X25">
            <v>9.935483870967742</v>
          </cell>
          <cell r="Y25">
            <v>8.1666666666666679</v>
          </cell>
          <cell r="Z25">
            <v>9.1935483870967758</v>
          </cell>
          <cell r="AA25">
            <v>10.548387096774192</v>
          </cell>
          <cell r="AB25">
            <v>11.533333333333331</v>
          </cell>
          <cell r="AC25">
            <v>8.5806451612903221</v>
          </cell>
          <cell r="AD25">
            <v>10.433333333333334</v>
          </cell>
          <cell r="AE25">
            <v>9.3870967741935498</v>
          </cell>
          <cell r="AF25">
            <v>8.8064516129032242</v>
          </cell>
          <cell r="AG25">
            <v>10.392857142857144</v>
          </cell>
          <cell r="AH25">
            <v>9.2903225806451601</v>
          </cell>
          <cell r="AI25">
            <v>10.3</v>
          </cell>
          <cell r="AJ25">
            <v>10.06451612903226</v>
          </cell>
          <cell r="AK25">
            <v>8.1666666666666661</v>
          </cell>
          <cell r="AL25">
            <v>9.7096774193548381</v>
          </cell>
          <cell r="AM25">
            <v>0.5161290322580645</v>
          </cell>
        </row>
        <row r="26">
          <cell r="A26" t="str">
            <v>HES / Haverhill / 8-10 Howard St</v>
          </cell>
          <cell r="I26">
            <v>1.4285714285714284</v>
          </cell>
          <cell r="J26">
            <v>6.5161290322580649</v>
          </cell>
          <cell r="K26">
            <v>7.5333333333333332</v>
          </cell>
          <cell r="L26">
            <v>5.6774193548387082</v>
          </cell>
          <cell r="M26">
            <v>7.4</v>
          </cell>
          <cell r="N26">
            <v>6.967741935483871</v>
          </cell>
          <cell r="O26">
            <v>6.6451612903225801</v>
          </cell>
          <cell r="P26">
            <v>3.9</v>
          </cell>
          <cell r="Q26">
            <v>3.5483870967741935</v>
          </cell>
          <cell r="R26">
            <v>3.9</v>
          </cell>
          <cell r="S26">
            <v>5.064516129032258</v>
          </cell>
          <cell r="T26">
            <v>6.870967741935484</v>
          </cell>
          <cell r="U26">
            <v>5.5862068965517242</v>
          </cell>
          <cell r="V26">
            <v>6</v>
          </cell>
          <cell r="W26">
            <v>5.9666666666666659</v>
          </cell>
          <cell r="X26">
            <v>5.161290322580645</v>
          </cell>
          <cell r="Y26">
            <v>5.3333333333333339</v>
          </cell>
          <cell r="Z26">
            <v>4.967741935483871</v>
          </cell>
          <cell r="AA26">
            <v>4.7096774193548381</v>
          </cell>
          <cell r="AB26">
            <v>5.0999999999999996</v>
          </cell>
          <cell r="AC26">
            <v>5.774193548387097</v>
          </cell>
          <cell r="AD26">
            <v>2.2999999999999998</v>
          </cell>
        </row>
        <row r="27">
          <cell r="A27" t="str">
            <v>HES / Salem / 39 1/2 Mason St</v>
          </cell>
          <cell r="AL27">
            <v>0.80645161290322576</v>
          </cell>
          <cell r="AM27">
            <v>9.741935483870968</v>
          </cell>
          <cell r="AN27">
            <v>7.1333333333333329</v>
          </cell>
          <cell r="AO27">
            <v>7.7096774193548372</v>
          </cell>
          <cell r="AP27">
            <v>9.4</v>
          </cell>
          <cell r="AQ27">
            <v>8.870967741935484</v>
          </cell>
          <cell r="AR27">
            <v>8.5806451612903203</v>
          </cell>
          <cell r="AS27">
            <v>8.9285714285714306</v>
          </cell>
          <cell r="AT27">
            <v>7.2258064516129021</v>
          </cell>
          <cell r="AU27">
            <v>9.9333333333333318</v>
          </cell>
          <cell r="AV27">
            <v>8.4516129032258043</v>
          </cell>
          <cell r="AW27">
            <v>9.6666666666666643</v>
          </cell>
        </row>
        <row r="28">
          <cell r="A28" t="str">
            <v>ItalianHome/E. Freetown/9PinewoodCt</v>
          </cell>
          <cell r="C28">
            <v>0.12903225806451613</v>
          </cell>
          <cell r="D28">
            <v>2.9333333333333336</v>
          </cell>
          <cell r="E28">
            <v>2.5161290322580645</v>
          </cell>
          <cell r="F28">
            <v>3.8333333333333335</v>
          </cell>
          <cell r="G28">
            <v>6</v>
          </cell>
          <cell r="H28">
            <v>8.129032258064516</v>
          </cell>
          <cell r="I28">
            <v>7.0714285714285712</v>
          </cell>
          <cell r="J28">
            <v>7.4516129032258069</v>
          </cell>
          <cell r="K28">
            <v>5.5333333333333332</v>
          </cell>
          <cell r="L28">
            <v>4.064516129032258</v>
          </cell>
          <cell r="M28">
            <v>4.7</v>
          </cell>
          <cell r="N28">
            <v>4.387096774193548</v>
          </cell>
          <cell r="O28">
            <v>7.5483870967741922</v>
          </cell>
          <cell r="P28">
            <v>7.2333333333333334</v>
          </cell>
          <cell r="Q28">
            <v>5.5161290322580649</v>
          </cell>
          <cell r="R28">
            <v>4.5333333333333332</v>
          </cell>
          <cell r="S28">
            <v>3.4193548387096775</v>
          </cell>
          <cell r="T28">
            <v>4.741935483870968</v>
          </cell>
          <cell r="U28">
            <v>9.4137931034482758</v>
          </cell>
          <cell r="V28">
            <v>7.5806451612903212</v>
          </cell>
          <cell r="W28">
            <v>7.333333333333333</v>
          </cell>
          <cell r="X28">
            <v>7.354838709677419</v>
          </cell>
          <cell r="Y28">
            <v>6.833333333333333</v>
          </cell>
          <cell r="Z28">
            <v>6.935483870967742</v>
          </cell>
          <cell r="AA28">
            <v>7.161290322580645</v>
          </cell>
          <cell r="AB28">
            <v>6.333333333333333</v>
          </cell>
          <cell r="AC28">
            <v>7.806451612903226</v>
          </cell>
          <cell r="AD28">
            <v>7.7333333333333325</v>
          </cell>
          <cell r="AE28">
            <v>6.7096774193548381</v>
          </cell>
          <cell r="AF28">
            <v>6.258064516129032</v>
          </cell>
          <cell r="AG28">
            <v>7.3214285714285721</v>
          </cell>
          <cell r="AH28">
            <v>5.741935483870968</v>
          </cell>
          <cell r="AI28">
            <v>7</v>
          </cell>
          <cell r="AJ28">
            <v>5.032258064516129</v>
          </cell>
          <cell r="AK28">
            <v>6.166666666666667</v>
          </cell>
          <cell r="AL28">
            <v>7.225806451612903</v>
          </cell>
          <cell r="AM28">
            <v>5.32258064516129</v>
          </cell>
          <cell r="AN28">
            <v>3.9</v>
          </cell>
          <cell r="AO28">
            <v>5.1290322580645169</v>
          </cell>
          <cell r="AP28">
            <v>6.7333333333333334</v>
          </cell>
          <cell r="AQ28">
            <v>5.67741935483871</v>
          </cell>
          <cell r="AR28">
            <v>5.774193548387097</v>
          </cell>
          <cell r="AS28">
            <v>8.3571428571428577</v>
          </cell>
          <cell r="AT28">
            <v>5.967741935483871</v>
          </cell>
          <cell r="AU28">
            <v>7.4333333333333336</v>
          </cell>
          <cell r="AV28">
            <v>7.064516129032258</v>
          </cell>
          <cell r="AW28">
            <v>8.1666666666666661</v>
          </cell>
        </row>
        <row r="29">
          <cell r="A29" t="str">
            <v>ItalianHome/JamPl/1125CentreSt</v>
          </cell>
          <cell r="B29">
            <v>3.2258064516129031E-2</v>
          </cell>
          <cell r="C29">
            <v>1.4516129032258065</v>
          </cell>
          <cell r="D29">
            <v>2</v>
          </cell>
          <cell r="E29">
            <v>1</v>
          </cell>
          <cell r="F29">
            <v>1.4333333333333331</v>
          </cell>
          <cell r="G29">
            <v>0.64516129032258063</v>
          </cell>
          <cell r="H29">
            <v>0.77419354838709675</v>
          </cell>
          <cell r="I29">
            <v>1.5</v>
          </cell>
          <cell r="J29">
            <v>1.6129032258064515</v>
          </cell>
          <cell r="K29">
            <v>1.7666666666666666</v>
          </cell>
          <cell r="L29">
            <v>0.45161290322580644</v>
          </cell>
          <cell r="M29">
            <v>0.93333333333333335</v>
          </cell>
          <cell r="N29">
            <v>1.903225806451613</v>
          </cell>
          <cell r="O29">
            <v>1.3870967741935485</v>
          </cell>
          <cell r="P29">
            <v>1.8666666666666667</v>
          </cell>
          <cell r="Q29">
            <v>1.2903225806451613</v>
          </cell>
          <cell r="R29">
            <v>1.1666666666666667</v>
          </cell>
          <cell r="S29">
            <v>1.9032258064516128</v>
          </cell>
          <cell r="T29">
            <v>1.1935483870967742</v>
          </cell>
          <cell r="U29">
            <v>1.6206896551724137</v>
          </cell>
          <cell r="V29">
            <v>1.064516129032258</v>
          </cell>
          <cell r="W29">
            <v>2</v>
          </cell>
          <cell r="X29">
            <v>1.903225806451613</v>
          </cell>
          <cell r="Y29">
            <v>1.8</v>
          </cell>
          <cell r="Z29">
            <v>1.2580645161290323</v>
          </cell>
          <cell r="AA29">
            <v>1.6451612903225805</v>
          </cell>
          <cell r="AB29">
            <v>0.6</v>
          </cell>
          <cell r="AC29">
            <v>1.1935483870967742</v>
          </cell>
          <cell r="AD29">
            <v>2</v>
          </cell>
          <cell r="AE29">
            <v>1.6451612903225805</v>
          </cell>
          <cell r="AF29">
            <v>2</v>
          </cell>
          <cell r="AG29">
            <v>2</v>
          </cell>
          <cell r="AH29">
            <v>1.3870967741935483</v>
          </cell>
          <cell r="AI29">
            <v>1.1000000000000001</v>
          </cell>
          <cell r="AJ29">
            <v>1.5806451612903225</v>
          </cell>
          <cell r="AK29">
            <v>1.6</v>
          </cell>
          <cell r="AL29">
            <v>1.2903225806451613</v>
          </cell>
          <cell r="AM29">
            <v>0.77419354838709675</v>
          </cell>
          <cell r="AN29">
            <v>2</v>
          </cell>
          <cell r="AO29">
            <v>1.2903225806451615</v>
          </cell>
          <cell r="AP29">
            <v>1.8666666666666667</v>
          </cell>
          <cell r="AQ29">
            <v>6.4516129032258063E-2</v>
          </cell>
        </row>
        <row r="30">
          <cell r="A30" t="str">
            <v>Key / Fall River / 62 County St</v>
          </cell>
          <cell r="B30">
            <v>5.4838709677419342</v>
          </cell>
          <cell r="C30">
            <v>6.0322580645161299</v>
          </cell>
          <cell r="D30">
            <v>5.7</v>
          </cell>
          <cell r="E30">
            <v>5.5483870967741939</v>
          </cell>
          <cell r="F30">
            <v>9.2333333333333343</v>
          </cell>
          <cell r="G30">
            <v>11.774193548387096</v>
          </cell>
          <cell r="H30">
            <v>10.451612903225806</v>
          </cell>
          <cell r="I30">
            <v>10.785714285714285</v>
          </cell>
          <cell r="J30">
            <v>10.322580645161294</v>
          </cell>
          <cell r="K30">
            <v>12.8</v>
          </cell>
          <cell r="L30">
            <v>12.419354838709678</v>
          </cell>
          <cell r="M30">
            <v>12.066666666666668</v>
          </cell>
          <cell r="N30">
            <v>12.806451612903226</v>
          </cell>
          <cell r="O30">
            <v>14.451612903225808</v>
          </cell>
          <cell r="P30">
            <v>14.533333333333335</v>
          </cell>
          <cell r="Q30">
            <v>14.387096774193548</v>
          </cell>
          <cell r="R30">
            <v>14.6</v>
          </cell>
          <cell r="S30">
            <v>14.741935483870966</v>
          </cell>
          <cell r="T30">
            <v>14.967741935483872</v>
          </cell>
          <cell r="U30">
            <v>14.827586206896553</v>
          </cell>
          <cell r="V30">
            <v>14.838709677419356</v>
          </cell>
          <cell r="W30">
            <v>14.8</v>
          </cell>
          <cell r="X30">
            <v>15</v>
          </cell>
          <cell r="Y30">
            <v>14.533333333333335</v>
          </cell>
          <cell r="Z30">
            <v>14.870967741935484</v>
          </cell>
          <cell r="AA30">
            <v>14.70967741935484</v>
          </cell>
          <cell r="AB30">
            <v>14.2</v>
          </cell>
          <cell r="AC30">
            <v>13</v>
          </cell>
          <cell r="AD30">
            <v>14.3</v>
          </cell>
          <cell r="AE30">
            <v>13.516129032258064</v>
          </cell>
          <cell r="AF30">
            <v>13.645161290322582</v>
          </cell>
          <cell r="AG30">
            <v>11.428571428571431</v>
          </cell>
          <cell r="AH30">
            <v>12.064516129032258</v>
          </cell>
          <cell r="AI30">
            <v>14.266666666666667</v>
          </cell>
          <cell r="AJ30">
            <v>13.06451612903226</v>
          </cell>
          <cell r="AK30">
            <v>14.4</v>
          </cell>
          <cell r="AL30">
            <v>14.645161290322584</v>
          </cell>
          <cell r="AM30">
            <v>13.064516129032258</v>
          </cell>
          <cell r="AN30">
            <v>12.3</v>
          </cell>
          <cell r="AO30">
            <v>14.258064516129034</v>
          </cell>
          <cell r="AP30">
            <v>14.233333333333333</v>
          </cell>
          <cell r="AQ30">
            <v>12.35483870967742</v>
          </cell>
          <cell r="AR30">
            <v>12.774193548387094</v>
          </cell>
          <cell r="AS30">
            <v>14.035714285714286</v>
          </cell>
          <cell r="AT30">
            <v>14.225806451612904</v>
          </cell>
          <cell r="AU30">
            <v>14.533333333333331</v>
          </cell>
          <cell r="AV30">
            <v>14.451612903225808</v>
          </cell>
          <cell r="AW30">
            <v>14.7</v>
          </cell>
        </row>
        <row r="31">
          <cell r="A31" t="str">
            <v>Key / Methuen / 175 Lowell St</v>
          </cell>
          <cell r="B31">
            <v>11.35483870967742</v>
          </cell>
          <cell r="C31">
            <v>11.064516129032258</v>
          </cell>
          <cell r="D31">
            <v>9.9333333333333336</v>
          </cell>
          <cell r="E31">
            <v>9.4838709677419359</v>
          </cell>
          <cell r="F31">
            <v>9.8666666666666671</v>
          </cell>
          <cell r="G31">
            <v>10.548387096774194</v>
          </cell>
          <cell r="H31">
            <v>10.58064516129032</v>
          </cell>
          <cell r="I31">
            <v>9.4285714285714288</v>
          </cell>
          <cell r="J31">
            <v>10</v>
          </cell>
          <cell r="K31">
            <v>11.5</v>
          </cell>
          <cell r="L31">
            <v>10.741935483870966</v>
          </cell>
          <cell r="M31">
            <v>9.9666666666666668</v>
          </cell>
          <cell r="N31">
            <v>10.61290322580645</v>
          </cell>
          <cell r="O31">
            <v>10.548387096774196</v>
          </cell>
          <cell r="P31">
            <v>9.1</v>
          </cell>
          <cell r="Q31">
            <v>9.5161290322580641</v>
          </cell>
          <cell r="R31">
            <v>10.7</v>
          </cell>
          <cell r="S31">
            <v>9.064516129032258</v>
          </cell>
          <cell r="T31">
            <v>5</v>
          </cell>
          <cell r="U31">
            <v>5.6206896551724128</v>
          </cell>
          <cell r="V31">
            <v>4.6774193548387091</v>
          </cell>
          <cell r="W31">
            <v>4.8333333333333339</v>
          </cell>
          <cell r="X31">
            <v>4.4193548387096779</v>
          </cell>
          <cell r="Y31">
            <v>5.166666666666667</v>
          </cell>
          <cell r="Z31">
            <v>3.870967741935484</v>
          </cell>
          <cell r="AA31">
            <v>3.8387096774193545</v>
          </cell>
          <cell r="AB31">
            <v>1.8333333333333333</v>
          </cell>
          <cell r="AC31">
            <v>4.7741935483870961</v>
          </cell>
          <cell r="AD31">
            <v>5.1333333333333329</v>
          </cell>
          <cell r="AE31">
            <v>5.354838709677419</v>
          </cell>
          <cell r="AF31">
            <v>3.3870967741935489</v>
          </cell>
          <cell r="AG31">
            <v>5.75</v>
          </cell>
          <cell r="AH31">
            <v>4.67741935483871</v>
          </cell>
          <cell r="AI31">
            <v>4.5</v>
          </cell>
          <cell r="AJ31">
            <v>5.6129032258064511</v>
          </cell>
          <cell r="AK31">
            <v>5.3</v>
          </cell>
          <cell r="AL31">
            <v>4.8064516129032251</v>
          </cell>
          <cell r="AM31">
            <v>5.838709677419355</v>
          </cell>
          <cell r="AN31">
            <v>4.4000000000000004</v>
          </cell>
          <cell r="AO31">
            <v>5.354838709677419</v>
          </cell>
          <cell r="AP31">
            <v>5.0999999999999996</v>
          </cell>
          <cell r="AQ31">
            <v>4.7096774193548381</v>
          </cell>
          <cell r="AR31">
            <v>4.903225806451613</v>
          </cell>
          <cell r="AS31">
            <v>3.964285714285714</v>
          </cell>
          <cell r="AT31">
            <v>4.838709677419355</v>
          </cell>
          <cell r="AU31">
            <v>5.8666666666666663</v>
          </cell>
          <cell r="AV31">
            <v>5.903225806451613</v>
          </cell>
          <cell r="AW31">
            <v>5.3</v>
          </cell>
        </row>
        <row r="32">
          <cell r="A32" t="str">
            <v>Key / Methuen / 19 Mystic St</v>
          </cell>
          <cell r="S32">
            <v>0.80645161290322576</v>
          </cell>
          <cell r="T32">
            <v>5.5161290322580649</v>
          </cell>
          <cell r="U32">
            <v>5.5862068965517242</v>
          </cell>
          <cell r="V32">
            <v>5.5483870967741939</v>
          </cell>
          <cell r="W32">
            <v>5.7666666666666666</v>
          </cell>
          <cell r="X32">
            <v>4.9677419354838701</v>
          </cell>
          <cell r="Y32">
            <v>6.3</v>
          </cell>
          <cell r="Z32">
            <v>4.258064516129032</v>
          </cell>
          <cell r="AA32">
            <v>5.612903225806452</v>
          </cell>
          <cell r="AB32">
            <v>5.8</v>
          </cell>
          <cell r="AC32">
            <v>6</v>
          </cell>
          <cell r="AD32">
            <v>4.5333333333333341</v>
          </cell>
          <cell r="AE32">
            <v>5.1290322580645169</v>
          </cell>
          <cell r="AF32">
            <v>5.129032258064516</v>
          </cell>
          <cell r="AG32">
            <v>5</v>
          </cell>
          <cell r="AH32">
            <v>4.4838709677419351</v>
          </cell>
          <cell r="AI32">
            <v>4.0666666666666664</v>
          </cell>
          <cell r="AJ32">
            <v>5.4838709677419351</v>
          </cell>
          <cell r="AK32">
            <v>4.5333333333333332</v>
          </cell>
          <cell r="AL32">
            <v>3.6451612903225805</v>
          </cell>
          <cell r="AM32">
            <v>5.6451612903225801</v>
          </cell>
          <cell r="AN32">
            <v>5.333333333333333</v>
          </cell>
          <cell r="AO32">
            <v>4</v>
          </cell>
          <cell r="AP32">
            <v>4.6333333333333329</v>
          </cell>
          <cell r="AQ32">
            <v>5.4838709677419351</v>
          </cell>
          <cell r="AR32">
            <v>4.1612903225806441</v>
          </cell>
          <cell r="AS32">
            <v>4.9285714285714279</v>
          </cell>
          <cell r="AT32">
            <v>4.4838709677419351</v>
          </cell>
          <cell r="AU32">
            <v>5.3666666666666671</v>
          </cell>
          <cell r="AV32">
            <v>5.6774193548387091</v>
          </cell>
          <cell r="AW32">
            <v>5.8666666666666663</v>
          </cell>
        </row>
        <row r="33">
          <cell r="A33" t="str">
            <v>Key / Pittsfield / 369 West St</v>
          </cell>
          <cell r="B33">
            <v>9.387096774193548</v>
          </cell>
          <cell r="C33">
            <v>10.838709677419354</v>
          </cell>
          <cell r="D33">
            <v>9.8666666666666671</v>
          </cell>
          <cell r="E33">
            <v>11</v>
          </cell>
          <cell r="F33">
            <v>10.3</v>
          </cell>
          <cell r="G33">
            <v>10.096774193548388</v>
          </cell>
          <cell r="H33">
            <v>11.387096774193544</v>
          </cell>
          <cell r="I33">
            <v>11.428571428571429</v>
          </cell>
          <cell r="J33">
            <v>11.451612903225806</v>
          </cell>
          <cell r="K33">
            <v>10.1</v>
          </cell>
          <cell r="L33">
            <v>11.096774193548388</v>
          </cell>
          <cell r="M33">
            <v>9.5333333333333314</v>
          </cell>
          <cell r="N33">
            <v>11.580645161290322</v>
          </cell>
          <cell r="O33">
            <v>11.354838709677416</v>
          </cell>
          <cell r="P33">
            <v>11.5</v>
          </cell>
          <cell r="Q33">
            <v>11.677419354838708</v>
          </cell>
          <cell r="R33">
            <v>11.266666666666667</v>
          </cell>
          <cell r="S33">
            <v>11.741935483870966</v>
          </cell>
          <cell r="T33">
            <v>11.838709677419354</v>
          </cell>
          <cell r="U33">
            <v>11.931034482758621</v>
          </cell>
          <cell r="V33">
            <v>12.032258064516128</v>
          </cell>
          <cell r="W33">
            <v>12.033333333333333</v>
          </cell>
          <cell r="X33">
            <v>12</v>
          </cell>
          <cell r="Y33">
            <v>11.966666666666667</v>
          </cell>
          <cell r="Z33">
            <v>11.67741935483871</v>
          </cell>
          <cell r="AA33">
            <v>11.322580645161288</v>
          </cell>
          <cell r="AB33">
            <v>11.466666666666667</v>
          </cell>
          <cell r="AC33">
            <v>11.35483870967742</v>
          </cell>
          <cell r="AD33">
            <v>10.766666666666666</v>
          </cell>
          <cell r="AE33">
            <v>11.032258064516128</v>
          </cell>
          <cell r="AF33">
            <v>11.354838709677418</v>
          </cell>
          <cell r="AG33">
            <v>11.5</v>
          </cell>
          <cell r="AH33">
            <v>11.70967741935484</v>
          </cell>
          <cell r="AI33">
            <v>11.766666666666666</v>
          </cell>
          <cell r="AJ33">
            <v>11.741935483870966</v>
          </cell>
          <cell r="AK33">
            <v>11.866666666666667</v>
          </cell>
          <cell r="AL33">
            <v>10.806451612903228</v>
          </cell>
          <cell r="AM33">
            <v>11.193548387096776</v>
          </cell>
          <cell r="AN33">
            <v>11.333333333333332</v>
          </cell>
          <cell r="AO33">
            <v>11.580645161290322</v>
          </cell>
          <cell r="AP33">
            <v>11.466666666666665</v>
          </cell>
          <cell r="AQ33">
            <v>11.67741935483871</v>
          </cell>
          <cell r="AR33">
            <v>11.161290322580644</v>
          </cell>
          <cell r="AS33">
            <v>11.607142857142856</v>
          </cell>
          <cell r="AT33">
            <v>12.838709677419358</v>
          </cell>
          <cell r="AU33">
            <v>13.266666666666666</v>
          </cell>
          <cell r="AV33">
            <v>12.516129032258066</v>
          </cell>
          <cell r="AW33">
            <v>12.8</v>
          </cell>
        </row>
        <row r="34">
          <cell r="A34" t="str">
            <v>Key / Worcester / 2 Norton St</v>
          </cell>
          <cell r="B34">
            <v>7.9354838709677429</v>
          </cell>
          <cell r="C34">
            <v>8.129032258064516</v>
          </cell>
          <cell r="D34">
            <v>7.0666666666666664</v>
          </cell>
          <cell r="E34">
            <v>7.7741935483870979</v>
          </cell>
          <cell r="F34">
            <v>7</v>
          </cell>
          <cell r="G34">
            <v>8.2903225806451619</v>
          </cell>
          <cell r="H34">
            <v>8.9032258064516121</v>
          </cell>
          <cell r="I34">
            <v>8.4642857142857153</v>
          </cell>
          <cell r="J34">
            <v>8.6774193548387117</v>
          </cell>
          <cell r="K34">
            <v>9.1333333333333329</v>
          </cell>
          <cell r="L34">
            <v>9.935483870967742</v>
          </cell>
          <cell r="M34">
            <v>9.3000000000000007</v>
          </cell>
          <cell r="N34">
            <v>6.4838709677419342</v>
          </cell>
          <cell r="O34">
            <v>8.3225806451612883</v>
          </cell>
          <cell r="P34">
            <v>9.5666666666666664</v>
          </cell>
          <cell r="Q34">
            <v>9.1935483870967758</v>
          </cell>
          <cell r="R34">
            <v>9.9333333333333336</v>
          </cell>
          <cell r="S34">
            <v>9.4838709677419377</v>
          </cell>
          <cell r="T34">
            <v>9.4838709677419359</v>
          </cell>
          <cell r="U34">
            <v>9.9655172413793096</v>
          </cell>
          <cell r="V34">
            <v>9.9032258064516139</v>
          </cell>
          <cell r="W34">
            <v>9.5</v>
          </cell>
          <cell r="X34">
            <v>9.806451612903226</v>
          </cell>
          <cell r="Y34">
            <v>9.6333333333333329</v>
          </cell>
          <cell r="Z34">
            <v>9.387096774193548</v>
          </cell>
          <cell r="AA34">
            <v>9.5483870967741939</v>
          </cell>
          <cell r="AB34">
            <v>9.4</v>
          </cell>
          <cell r="AC34">
            <v>7.870967741935484</v>
          </cell>
          <cell r="AD34">
            <v>6.6</v>
          </cell>
          <cell r="AE34">
            <v>8.0322580645161299</v>
          </cell>
          <cell r="AF34">
            <v>7.5483870967741939</v>
          </cell>
          <cell r="AG34">
            <v>7.6785714285714288</v>
          </cell>
          <cell r="AH34">
            <v>7.258064516129032</v>
          </cell>
          <cell r="AI34">
            <v>9.3333333333333321</v>
          </cell>
          <cell r="AJ34">
            <v>9.6129032258064502</v>
          </cell>
          <cell r="AK34">
            <v>9.1666666666666679</v>
          </cell>
          <cell r="AL34">
            <v>9.2258064516129039</v>
          </cell>
          <cell r="AM34">
            <v>7.8709677419354831</v>
          </cell>
          <cell r="AN34">
            <v>7.833333333333333</v>
          </cell>
          <cell r="AO34">
            <v>9.67741935483871</v>
          </cell>
          <cell r="AP34">
            <v>9.3333333333333339</v>
          </cell>
          <cell r="AQ34">
            <v>7.7741935483870961</v>
          </cell>
          <cell r="AR34">
            <v>8.3548387096774199</v>
          </cell>
          <cell r="AS34">
            <v>9.6428571428571423</v>
          </cell>
          <cell r="AT34">
            <v>7.67741935483871</v>
          </cell>
          <cell r="AU34">
            <v>9.3666666666666654</v>
          </cell>
          <cell r="AV34">
            <v>9.870967741935484</v>
          </cell>
          <cell r="AW34">
            <v>9.9333333333333353</v>
          </cell>
        </row>
        <row r="35">
          <cell r="A35" t="str">
            <v>LUK / Fitchburg / 101 South St</v>
          </cell>
          <cell r="B35">
            <v>5.5161290322580641</v>
          </cell>
          <cell r="C35">
            <v>6.161290322580645</v>
          </cell>
          <cell r="D35">
            <v>5.666666666666667</v>
          </cell>
          <cell r="E35">
            <v>5.7419354838709671</v>
          </cell>
          <cell r="F35">
            <v>6.5333333333333332</v>
          </cell>
          <cell r="G35">
            <v>6.0322580645161299</v>
          </cell>
          <cell r="H35">
            <v>5.4193548387096779</v>
          </cell>
          <cell r="I35">
            <v>5.1785714285714288</v>
          </cell>
          <cell r="J35">
            <v>5.2580645161290329</v>
          </cell>
          <cell r="K35">
            <v>5.5</v>
          </cell>
          <cell r="L35">
            <v>3.967741935483871</v>
          </cell>
          <cell r="M35">
            <v>5.4666666666666668</v>
          </cell>
          <cell r="N35">
            <v>6.5483870967741939</v>
          </cell>
          <cell r="O35">
            <v>7.290322580645161</v>
          </cell>
          <cell r="P35">
            <v>7.0666666666666664</v>
          </cell>
          <cell r="Q35">
            <v>6.4838709677419351</v>
          </cell>
          <cell r="R35">
            <v>6.0333333333333332</v>
          </cell>
          <cell r="S35">
            <v>6.967741935483871</v>
          </cell>
          <cell r="T35">
            <v>6.258064516129032</v>
          </cell>
          <cell r="U35">
            <v>7</v>
          </cell>
          <cell r="V35">
            <v>6.741935483870968</v>
          </cell>
          <cell r="W35">
            <v>6.7666666666666666</v>
          </cell>
          <cell r="X35">
            <v>6.032258064516129</v>
          </cell>
          <cell r="Y35">
            <v>6.1666666666666661</v>
          </cell>
          <cell r="Z35">
            <v>6.741935483870968</v>
          </cell>
          <cell r="AA35">
            <v>6.7741935483870961</v>
          </cell>
          <cell r="AB35">
            <v>6.7333333333333343</v>
          </cell>
          <cell r="AC35">
            <v>7.096774193548387</v>
          </cell>
          <cell r="AD35">
            <v>5.7333333333333334</v>
          </cell>
          <cell r="AE35">
            <v>6.225806451612903</v>
          </cell>
          <cell r="AF35">
            <v>6.387096774193548</v>
          </cell>
          <cell r="AG35">
            <v>7</v>
          </cell>
          <cell r="AH35">
            <v>5.838709677419355</v>
          </cell>
          <cell r="AI35">
            <v>5.166666666666667</v>
          </cell>
          <cell r="AJ35">
            <v>6.3870967741935472</v>
          </cell>
          <cell r="AK35">
            <v>4.7666666666666666</v>
          </cell>
          <cell r="AL35">
            <v>4.354838709677419</v>
          </cell>
          <cell r="AM35">
            <v>5.935483870967742</v>
          </cell>
          <cell r="AN35">
            <v>5.1333333333333337</v>
          </cell>
          <cell r="AO35">
            <v>5.161290322580645</v>
          </cell>
          <cell r="AP35">
            <v>5.833333333333333</v>
          </cell>
          <cell r="AQ35">
            <v>6.419354838709677</v>
          </cell>
          <cell r="AR35">
            <v>6.2903225806451619</v>
          </cell>
          <cell r="AS35">
            <v>3.25</v>
          </cell>
          <cell r="AT35">
            <v>4.193548387096774</v>
          </cell>
          <cell r="AU35">
            <v>5.3666666666666663</v>
          </cell>
          <cell r="AV35">
            <v>6.354838709677419</v>
          </cell>
          <cell r="AW35">
            <v>6.6666666666666679</v>
          </cell>
        </row>
        <row r="36">
          <cell r="A36" t="str">
            <v>LUK / Fitchburg / 102 Day Street</v>
          </cell>
          <cell r="B36">
            <v>2.032258064516129</v>
          </cell>
          <cell r="C36">
            <v>2.32258064516129</v>
          </cell>
          <cell r="D36">
            <v>3.1333333333333337</v>
          </cell>
          <cell r="E36">
            <v>2.6451612903225801</v>
          </cell>
          <cell r="F36">
            <v>4</v>
          </cell>
          <cell r="G36">
            <v>3.4838709677419355</v>
          </cell>
          <cell r="H36">
            <v>3.774193548387097</v>
          </cell>
          <cell r="I36">
            <v>3.25</v>
          </cell>
          <cell r="J36">
            <v>3.806451612903226</v>
          </cell>
          <cell r="K36">
            <v>3.6666666666666665</v>
          </cell>
          <cell r="L36">
            <v>4.4193548387096779</v>
          </cell>
          <cell r="M36">
            <v>3.666666666666667</v>
          </cell>
          <cell r="N36">
            <v>3.5483870967741935</v>
          </cell>
          <cell r="O36">
            <v>3.7096774193548385</v>
          </cell>
          <cell r="P36">
            <v>3.4666666666666668</v>
          </cell>
          <cell r="Q36">
            <v>4.064516129032258</v>
          </cell>
          <cell r="R36">
            <v>4.8</v>
          </cell>
          <cell r="S36">
            <v>4.6451612903225801</v>
          </cell>
          <cell r="T36">
            <v>4.9677419354838701</v>
          </cell>
          <cell r="U36">
            <v>4.4137931034482758</v>
          </cell>
          <cell r="V36">
            <v>1.2903225806451613</v>
          </cell>
          <cell r="W36">
            <v>2.1666666666666665</v>
          </cell>
          <cell r="X36">
            <v>4.193548387096774</v>
          </cell>
          <cell r="Y36">
            <v>5.6333333333333329</v>
          </cell>
          <cell r="Z36">
            <v>6.0967741935483861</v>
          </cell>
          <cell r="AA36">
            <v>6.709677419354839</v>
          </cell>
          <cell r="AB36">
            <v>6.2</v>
          </cell>
          <cell r="AC36">
            <v>8.2903225806451601</v>
          </cell>
          <cell r="AD36">
            <v>8.6</v>
          </cell>
          <cell r="AE36">
            <v>7.967741935483871</v>
          </cell>
          <cell r="AF36">
            <v>6.935483870967742</v>
          </cell>
          <cell r="AG36">
            <v>7.5714285714285721</v>
          </cell>
          <cell r="AH36">
            <v>8.129032258064516</v>
          </cell>
          <cell r="AI36">
            <v>7.6333333333333337</v>
          </cell>
          <cell r="AJ36">
            <v>6.580645161290323</v>
          </cell>
          <cell r="AK36">
            <v>6.4</v>
          </cell>
          <cell r="AL36">
            <v>6.4516129032258069</v>
          </cell>
          <cell r="AM36">
            <v>3.774193548387097</v>
          </cell>
          <cell r="AN36">
            <v>1</v>
          </cell>
          <cell r="AO36">
            <v>1</v>
          </cell>
          <cell r="AP36">
            <v>0.5</v>
          </cell>
        </row>
        <row r="37">
          <cell r="A37" t="str">
            <v>LUK / Fitchburg / 27 Myrtle Ave</v>
          </cell>
          <cell r="B37">
            <v>5.2880645161290323</v>
          </cell>
          <cell r="C37">
            <v>6.7741935483870961</v>
          </cell>
          <cell r="D37">
            <v>7.4333333333333336</v>
          </cell>
          <cell r="E37">
            <v>7.354838709677419</v>
          </cell>
          <cell r="F37">
            <v>8</v>
          </cell>
          <cell r="G37">
            <v>8.0967741935483861</v>
          </cell>
          <cell r="H37">
            <v>8.5483870967741939</v>
          </cell>
          <cell r="I37">
            <v>6.8214285714285712</v>
          </cell>
          <cell r="J37">
            <v>7.612903225806452</v>
          </cell>
          <cell r="K37">
            <v>8.9666666666666686</v>
          </cell>
          <cell r="L37">
            <v>8.9677419354838701</v>
          </cell>
          <cell r="M37">
            <v>8.6999999999999993</v>
          </cell>
          <cell r="N37">
            <v>9.2903225806451619</v>
          </cell>
          <cell r="O37">
            <v>9.0967741935483861</v>
          </cell>
          <cell r="P37">
            <v>9.4</v>
          </cell>
          <cell r="Q37">
            <v>8.741935483870968</v>
          </cell>
          <cell r="R37">
            <v>8.6999999999999993</v>
          </cell>
          <cell r="S37">
            <v>9.0322580645161299</v>
          </cell>
          <cell r="T37">
            <v>8.9032258064516121</v>
          </cell>
          <cell r="U37">
            <v>8.6896551724137936</v>
          </cell>
          <cell r="V37">
            <v>9.0322580645161299</v>
          </cell>
          <cell r="W37">
            <v>8.8666666666666654</v>
          </cell>
          <cell r="X37">
            <v>8.7096774193548381</v>
          </cell>
          <cell r="Y37">
            <v>7.4666666666666668</v>
          </cell>
          <cell r="Z37">
            <v>6.258064516129032</v>
          </cell>
          <cell r="AA37">
            <v>6.096774193548387</v>
          </cell>
          <cell r="AB37">
            <v>4.7333333333333334</v>
          </cell>
          <cell r="AC37">
            <v>4.225806451612903</v>
          </cell>
          <cell r="AD37">
            <v>4.0666666666666664</v>
          </cell>
          <cell r="AE37">
            <v>5.064516129032258</v>
          </cell>
          <cell r="AF37">
            <v>6.290322580645161</v>
          </cell>
          <cell r="AG37">
            <v>5.7142857142857144</v>
          </cell>
          <cell r="AH37">
            <v>5.225806451612903</v>
          </cell>
          <cell r="AI37">
            <v>5.7</v>
          </cell>
          <cell r="AJ37">
            <v>7.096774193548387</v>
          </cell>
          <cell r="AK37">
            <v>6.8666666666666663</v>
          </cell>
          <cell r="AL37">
            <v>5.4838709677419359</v>
          </cell>
          <cell r="AM37">
            <v>6.6129032258064511</v>
          </cell>
          <cell r="AN37">
            <v>6.4666666666666668</v>
          </cell>
          <cell r="AO37">
            <v>6.193548387096774</v>
          </cell>
          <cell r="AP37">
            <v>3.7666666666666662</v>
          </cell>
          <cell r="AQ37">
            <v>4.193548387096774</v>
          </cell>
          <cell r="AR37">
            <v>5.806451612903226</v>
          </cell>
          <cell r="AS37">
            <v>6.75</v>
          </cell>
          <cell r="AT37">
            <v>5.2903225806451601</v>
          </cell>
          <cell r="AU37">
            <v>3.833333333333333</v>
          </cell>
          <cell r="AV37">
            <v>3.6451612903225805</v>
          </cell>
          <cell r="AW37">
            <v>4.833333333333333</v>
          </cell>
        </row>
        <row r="38">
          <cell r="A38" t="str">
            <v>LUK / Fitchburg / 846 Westminster</v>
          </cell>
          <cell r="AM38">
            <v>0.5161290322580645</v>
          </cell>
          <cell r="AN38">
            <v>4.8666666666666671</v>
          </cell>
          <cell r="AO38">
            <v>5.774193548387097</v>
          </cell>
          <cell r="AP38">
            <v>5.5</v>
          </cell>
          <cell r="AQ38">
            <v>5.419354838709677</v>
          </cell>
          <cell r="AR38">
            <v>5.064516129032258</v>
          </cell>
          <cell r="AS38">
            <v>6.3214285714285721</v>
          </cell>
          <cell r="AT38">
            <v>7.741935483870968</v>
          </cell>
          <cell r="AU38">
            <v>8.3666666666666654</v>
          </cell>
          <cell r="AV38">
            <v>8.0322580645161281</v>
          </cell>
          <cell r="AW38">
            <v>6.9</v>
          </cell>
        </row>
        <row r="39">
          <cell r="A39" t="str">
            <v>NFI / Arlington /23 Maple St</v>
          </cell>
          <cell r="D39">
            <v>4.2666666666666666</v>
          </cell>
          <cell r="E39">
            <v>5.096774193548387</v>
          </cell>
          <cell r="F39">
            <v>5.6</v>
          </cell>
          <cell r="G39">
            <v>5.5483870967741931</v>
          </cell>
          <cell r="H39">
            <v>5.419354838709677</v>
          </cell>
          <cell r="I39">
            <v>5.1071428571428577</v>
          </cell>
          <cell r="J39">
            <v>5.32258064516129</v>
          </cell>
          <cell r="K39">
            <v>5.7</v>
          </cell>
          <cell r="L39">
            <v>5.7096774193548381</v>
          </cell>
          <cell r="M39">
            <v>5.5666666666666664</v>
          </cell>
          <cell r="N39">
            <v>5.387096774193548</v>
          </cell>
          <cell r="O39">
            <v>5.6774193548387091</v>
          </cell>
          <cell r="P39">
            <v>3.8</v>
          </cell>
          <cell r="Q39">
            <v>3.193548387096774</v>
          </cell>
          <cell r="R39">
            <v>5.2666666666666675</v>
          </cell>
          <cell r="S39">
            <v>4.8709677419354831</v>
          </cell>
          <cell r="T39">
            <v>5.5483870967741939</v>
          </cell>
          <cell r="U39">
            <v>5.8965517241379306</v>
          </cell>
          <cell r="V39">
            <v>5.32258064516129</v>
          </cell>
          <cell r="W39">
            <v>5.3</v>
          </cell>
          <cell r="X39">
            <v>5.6451612903225801</v>
          </cell>
          <cell r="Y39">
            <v>5.2333333333333343</v>
          </cell>
          <cell r="Z39">
            <v>5.354838709677419</v>
          </cell>
          <cell r="AA39">
            <v>3.5161290322580645</v>
          </cell>
          <cell r="AB39">
            <v>2.3333333333333339</v>
          </cell>
          <cell r="AC39">
            <v>5.387096774193548</v>
          </cell>
          <cell r="AD39">
            <v>5.5333333333333332</v>
          </cell>
          <cell r="AE39">
            <v>4.9032258064516121</v>
          </cell>
          <cell r="AF39">
            <v>4.903225806451613</v>
          </cell>
          <cell r="AG39">
            <v>4.1785714285714279</v>
          </cell>
          <cell r="AH39">
            <v>5.645161290322581</v>
          </cell>
          <cell r="AI39">
            <v>5.2666666666666666</v>
          </cell>
          <cell r="AJ39">
            <v>5.7419354838709671</v>
          </cell>
          <cell r="AK39">
            <v>5.3</v>
          </cell>
          <cell r="AL39">
            <v>5.935483870967742</v>
          </cell>
          <cell r="AM39">
            <v>4.8709677419354849</v>
          </cell>
          <cell r="AN39">
            <v>4.6333333333333337</v>
          </cell>
          <cell r="AO39">
            <v>4.9032258064516121</v>
          </cell>
          <cell r="AP39">
            <v>5.6</v>
          </cell>
          <cell r="AQ39">
            <v>5.193548387096774</v>
          </cell>
          <cell r="AR39">
            <v>5.3225806451612909</v>
          </cell>
          <cell r="AS39">
            <v>5.3928571428571432</v>
          </cell>
          <cell r="AT39">
            <v>5.4193548387096762</v>
          </cell>
          <cell r="AU39">
            <v>5.7333333333333325</v>
          </cell>
          <cell r="AV39">
            <v>5.419354838709677</v>
          </cell>
          <cell r="AW39">
            <v>5.3666666666666671</v>
          </cell>
        </row>
        <row r="40">
          <cell r="A40" t="str">
            <v>Old Colony Y/Brockton/917R Montello</v>
          </cell>
          <cell r="B40">
            <v>8.32258064516129</v>
          </cell>
          <cell r="C40">
            <v>9.193548387096774</v>
          </cell>
          <cell r="D40">
            <v>10.166666666666666</v>
          </cell>
          <cell r="E40">
            <v>10.419354838709678</v>
          </cell>
          <cell r="F40">
            <v>11.8</v>
          </cell>
          <cell r="G40">
            <v>11.032258064516128</v>
          </cell>
          <cell r="H40">
            <v>11.193548387096774</v>
          </cell>
          <cell r="I40">
            <v>11.142857142857141</v>
          </cell>
          <cell r="J40">
            <v>12.290322580645164</v>
          </cell>
          <cell r="K40">
            <v>12.433333333333334</v>
          </cell>
          <cell r="L40">
            <v>11.548387096774194</v>
          </cell>
          <cell r="M40">
            <v>15.133333333333335</v>
          </cell>
          <cell r="N40">
            <v>12.387096774193546</v>
          </cell>
          <cell r="O40">
            <v>10.677419354838708</v>
          </cell>
          <cell r="P40">
            <v>10.933333333333335</v>
          </cell>
          <cell r="Q40">
            <v>11.161290322580644</v>
          </cell>
          <cell r="R40">
            <v>11.6</v>
          </cell>
          <cell r="S40">
            <v>11.645161290322582</v>
          </cell>
          <cell r="T40">
            <v>11.129032258064514</v>
          </cell>
          <cell r="U40">
            <v>9.5517241379310338</v>
          </cell>
          <cell r="V40">
            <v>10.29032258064516</v>
          </cell>
          <cell r="W40">
            <v>11.566666666666668</v>
          </cell>
          <cell r="X40">
            <v>11.516129032258066</v>
          </cell>
          <cell r="Y40">
            <v>10.666666666666668</v>
          </cell>
          <cell r="Z40">
            <v>11.741935483870968</v>
          </cell>
          <cell r="AA40">
            <v>11.06451612903226</v>
          </cell>
          <cell r="AB40">
            <v>11.733333333333334</v>
          </cell>
          <cell r="AC40">
            <v>11.806451612903226</v>
          </cell>
          <cell r="AD40">
            <v>11.066666666666665</v>
          </cell>
          <cell r="AE40">
            <v>11.67741935483871</v>
          </cell>
          <cell r="AF40">
            <v>11.354838709677422</v>
          </cell>
          <cell r="AG40">
            <v>10.214285714285714</v>
          </cell>
          <cell r="AH40">
            <v>10.774193548387098</v>
          </cell>
          <cell r="AI40">
            <v>10.4</v>
          </cell>
          <cell r="AJ40">
            <v>10.935483870967742</v>
          </cell>
          <cell r="AK40">
            <v>11.233333333333333</v>
          </cell>
          <cell r="AL40">
            <v>10.64516129032258</v>
          </cell>
          <cell r="AM40">
            <v>9.2258064516129057</v>
          </cell>
          <cell r="AN40">
            <v>11.166666666666666</v>
          </cell>
          <cell r="AO40">
            <v>9.1612903225806441</v>
          </cell>
          <cell r="AP40">
            <v>7.3333333333333339</v>
          </cell>
          <cell r="AQ40">
            <v>8.3548387096774199</v>
          </cell>
          <cell r="AR40">
            <v>10.935483870967742</v>
          </cell>
          <cell r="AS40">
            <v>11.535714285714288</v>
          </cell>
          <cell r="AT40">
            <v>11.032258064516128</v>
          </cell>
          <cell r="AU40">
            <v>9.5</v>
          </cell>
          <cell r="AV40">
            <v>11.258064516129032</v>
          </cell>
          <cell r="AW40">
            <v>9.6999999999999993</v>
          </cell>
        </row>
        <row r="41">
          <cell r="A41" t="str">
            <v>Old Colony Y/Fall River/199 N. Main</v>
          </cell>
          <cell r="F41">
            <v>13.4</v>
          </cell>
          <cell r="G41">
            <v>11.419354838709678</v>
          </cell>
          <cell r="H41">
            <v>12.29032258064516</v>
          </cell>
          <cell r="I41">
            <v>13.785714285714286</v>
          </cell>
          <cell r="J41">
            <v>13.516129032258066</v>
          </cell>
          <cell r="K41">
            <v>13.9</v>
          </cell>
          <cell r="L41">
            <v>13.225806451612904</v>
          </cell>
          <cell r="M41">
            <v>14.033333333333333</v>
          </cell>
          <cell r="N41">
            <v>13.064516129032256</v>
          </cell>
          <cell r="O41">
            <v>12.161290322580644</v>
          </cell>
          <cell r="P41">
            <v>13.533333333333331</v>
          </cell>
          <cell r="Q41">
            <v>13.7741935483871</v>
          </cell>
          <cell r="R41">
            <v>12.833333333333334</v>
          </cell>
          <cell r="S41">
            <v>12.741935483870968</v>
          </cell>
          <cell r="T41">
            <v>13.129032258064514</v>
          </cell>
          <cell r="U41">
            <v>13.482758620689657</v>
          </cell>
          <cell r="V41">
            <v>13.483870967741936</v>
          </cell>
          <cell r="W41">
            <v>13.9</v>
          </cell>
          <cell r="X41">
            <v>11.548387096774194</v>
          </cell>
          <cell r="Y41">
            <v>5.9</v>
          </cell>
          <cell r="Z41">
            <v>8.5483870967741922</v>
          </cell>
          <cell r="AA41">
            <v>1.5806451612903225</v>
          </cell>
        </row>
        <row r="42">
          <cell r="A42" t="str">
            <v>Old Colony Y/NewBedford/106 bullard</v>
          </cell>
          <cell r="X42">
            <v>1.967741935483871</v>
          </cell>
          <cell r="Y42">
            <v>7.8</v>
          </cell>
          <cell r="Z42">
            <v>4.419354838709677</v>
          </cell>
          <cell r="AA42">
            <v>8.7741935483870979</v>
          </cell>
          <cell r="AB42">
            <v>12.6</v>
          </cell>
          <cell r="AC42">
            <v>12.193548387096776</v>
          </cell>
          <cell r="AD42">
            <v>12.6</v>
          </cell>
          <cell r="AE42">
            <v>10.74193548387097</v>
          </cell>
          <cell r="AF42">
            <v>12.612903225806452</v>
          </cell>
          <cell r="AG42">
            <v>12.642857142857144</v>
          </cell>
          <cell r="AH42">
            <v>12.580645161290324</v>
          </cell>
          <cell r="AI42">
            <v>13.366666666666667</v>
          </cell>
          <cell r="AJ42">
            <v>13.677419354838708</v>
          </cell>
          <cell r="AK42">
            <v>14.866666666666665</v>
          </cell>
          <cell r="AL42">
            <v>13.354838709677418</v>
          </cell>
          <cell r="AM42">
            <v>13.322580645161292</v>
          </cell>
          <cell r="AN42">
            <v>13.3</v>
          </cell>
          <cell r="AO42">
            <v>13.290322580645158</v>
          </cell>
          <cell r="AP42">
            <v>12.066666666666668</v>
          </cell>
          <cell r="AQ42">
            <v>11.161290322580646</v>
          </cell>
          <cell r="AR42">
            <v>12.741935483870968</v>
          </cell>
          <cell r="AS42">
            <v>12.892857142857144</v>
          </cell>
          <cell r="AT42">
            <v>13.06451612903226</v>
          </cell>
          <cell r="AU42">
            <v>13.533333333333331</v>
          </cell>
          <cell r="AV42">
            <v>13.451612903225808</v>
          </cell>
          <cell r="AW42">
            <v>11.5</v>
          </cell>
        </row>
        <row r="43">
          <cell r="A43" t="str">
            <v>RFK / Lancaster / 220 Old Common</v>
          </cell>
          <cell r="C43">
            <v>5.064516129032258</v>
          </cell>
          <cell r="D43">
            <v>10</v>
          </cell>
          <cell r="E43">
            <v>9.9677419354838719</v>
          </cell>
          <cell r="F43">
            <v>9.4</v>
          </cell>
          <cell r="G43">
            <v>9.258064516129032</v>
          </cell>
          <cell r="H43">
            <v>9.9032258064516157</v>
          </cell>
          <cell r="I43">
            <v>11.785714285714286</v>
          </cell>
          <cell r="J43">
            <v>10.193548387096774</v>
          </cell>
          <cell r="K43">
            <v>11.433333333333334</v>
          </cell>
          <cell r="L43">
            <v>13.516129032258064</v>
          </cell>
          <cell r="M43">
            <v>13.633333333333335</v>
          </cell>
          <cell r="N43">
            <v>13.870967741935484</v>
          </cell>
          <cell r="O43">
            <v>12.516129032258064</v>
          </cell>
          <cell r="P43">
            <v>11.6</v>
          </cell>
          <cell r="Q43">
            <v>12.064516129032258</v>
          </cell>
          <cell r="R43">
            <v>13.1</v>
          </cell>
          <cell r="S43">
            <v>14.806451612903226</v>
          </cell>
          <cell r="T43">
            <v>14.096774193548388</v>
          </cell>
          <cell r="U43">
            <v>14.413793103448274</v>
          </cell>
          <cell r="V43">
            <v>14.129032258064518</v>
          </cell>
          <cell r="W43">
            <v>14.466666666666667</v>
          </cell>
          <cell r="X43">
            <v>14.70967741935484</v>
          </cell>
          <cell r="Y43">
            <v>14.666666666666668</v>
          </cell>
          <cell r="Z43">
            <v>14.67741935483871</v>
          </cell>
          <cell r="AA43">
            <v>13.935483870967742</v>
          </cell>
          <cell r="AB43">
            <v>13.633333333333333</v>
          </cell>
          <cell r="AC43">
            <v>13.387096774193548</v>
          </cell>
          <cell r="AD43">
            <v>11.433333333333334</v>
          </cell>
          <cell r="AE43">
            <v>10.32258064516129</v>
          </cell>
          <cell r="AF43">
            <v>13.516129032258064</v>
          </cell>
          <cell r="AG43">
            <v>12.714285714285714</v>
          </cell>
          <cell r="AH43">
            <v>10.645161290322582</v>
          </cell>
          <cell r="AI43">
            <v>12.3</v>
          </cell>
          <cell r="AJ43">
            <v>13.064516129032256</v>
          </cell>
          <cell r="AK43">
            <v>14</v>
          </cell>
          <cell r="AL43">
            <v>13.580645161290322</v>
          </cell>
          <cell r="AM43">
            <v>12.483870967741936</v>
          </cell>
          <cell r="AN43">
            <v>10.433333333333335</v>
          </cell>
          <cell r="AO43">
            <v>12.419354838709678</v>
          </cell>
          <cell r="AP43">
            <v>11.3</v>
          </cell>
          <cell r="AQ43">
            <v>10.774193548387096</v>
          </cell>
          <cell r="AR43">
            <v>10.774193548387096</v>
          </cell>
          <cell r="AS43">
            <v>11.107142857142858</v>
          </cell>
          <cell r="AT43">
            <v>12.741935483870968</v>
          </cell>
          <cell r="AU43">
            <v>14.166666666666666</v>
          </cell>
          <cell r="AV43">
            <v>13.129032258064518</v>
          </cell>
          <cell r="AW43">
            <v>13.2</v>
          </cell>
        </row>
        <row r="44">
          <cell r="A44" t="str">
            <v>RFK / S.Yarmouth / 137 Run Pond</v>
          </cell>
          <cell r="B44">
            <v>9.612903225806452</v>
          </cell>
          <cell r="C44">
            <v>11.612903225806452</v>
          </cell>
          <cell r="D44">
            <v>10.466666666666667</v>
          </cell>
          <cell r="E44">
            <v>10.451612903225804</v>
          </cell>
          <cell r="F44">
            <v>11.533333333333335</v>
          </cell>
          <cell r="G44">
            <v>11.322580645161288</v>
          </cell>
          <cell r="H44">
            <v>9.1935483870967758</v>
          </cell>
          <cell r="I44">
            <v>10.392857142857142</v>
          </cell>
          <cell r="J44">
            <v>11.774193548387098</v>
          </cell>
          <cell r="K44">
            <v>11.566666666666666</v>
          </cell>
          <cell r="L44">
            <v>11.387096774193548</v>
          </cell>
          <cell r="M44">
            <v>11.833333333333332</v>
          </cell>
          <cell r="N44">
            <v>9.387096774193548</v>
          </cell>
          <cell r="O44">
            <v>9.5483870967741939</v>
          </cell>
          <cell r="P44">
            <v>10.266666666666666</v>
          </cell>
          <cell r="Q44">
            <v>10.29032258064516</v>
          </cell>
          <cell r="R44">
            <v>11.666666666666666</v>
          </cell>
          <cell r="S44">
            <v>10.967741935483874</v>
          </cell>
          <cell r="T44">
            <v>11.516129032258064</v>
          </cell>
          <cell r="U44">
            <v>11.310344827586206</v>
          </cell>
          <cell r="V44">
            <v>10.419354838709678</v>
          </cell>
          <cell r="W44">
            <v>9.8333333333333321</v>
          </cell>
          <cell r="X44">
            <v>11.806451612903226</v>
          </cell>
          <cell r="Y44">
            <v>11.833333333333332</v>
          </cell>
          <cell r="Z44">
            <v>11.774193548387096</v>
          </cell>
          <cell r="AA44">
            <v>11.032258064516128</v>
          </cell>
          <cell r="AB44">
            <v>11.7</v>
          </cell>
          <cell r="AC44">
            <v>11.580645161290322</v>
          </cell>
          <cell r="AD44">
            <v>11.666666666666666</v>
          </cell>
          <cell r="AE44">
            <v>11.67741935483871</v>
          </cell>
          <cell r="AF44">
            <v>11.258064516129034</v>
          </cell>
          <cell r="AG44">
            <v>11.25</v>
          </cell>
          <cell r="AH44">
            <v>11.806451612903228</v>
          </cell>
          <cell r="AI44">
            <v>11.366666666666669</v>
          </cell>
          <cell r="AJ44">
            <v>11.161290322580646</v>
          </cell>
          <cell r="AK44">
            <v>11.066666666666668</v>
          </cell>
          <cell r="AL44">
            <v>11</v>
          </cell>
          <cell r="AM44">
            <v>12</v>
          </cell>
          <cell r="AN44">
            <v>11.266666666666667</v>
          </cell>
          <cell r="AO44">
            <v>11.806451612903226</v>
          </cell>
          <cell r="AP44">
            <v>11.966666666666667</v>
          </cell>
          <cell r="AQ44">
            <v>11.161290322580644</v>
          </cell>
          <cell r="AR44">
            <v>11.161290322580644</v>
          </cell>
          <cell r="AS44">
            <v>11.357142857142858</v>
          </cell>
          <cell r="AT44">
            <v>11.838709677419354</v>
          </cell>
          <cell r="AU44">
            <v>11.733333333333333</v>
          </cell>
          <cell r="AV44">
            <v>11.096774193548386</v>
          </cell>
          <cell r="AW44">
            <v>10.366666666666667</v>
          </cell>
        </row>
        <row r="45">
          <cell r="A45" t="str">
            <v>SPIN / Lynn / 50 Newhall Street</v>
          </cell>
          <cell r="D45">
            <v>4.5</v>
          </cell>
          <cell r="E45">
            <v>10.064516129032256</v>
          </cell>
          <cell r="F45">
            <v>10.5</v>
          </cell>
          <cell r="G45">
            <v>8.2258064516129039</v>
          </cell>
          <cell r="H45">
            <v>5.354838709677419</v>
          </cell>
          <cell r="I45">
            <v>1.3214285714285712</v>
          </cell>
          <cell r="J45">
            <v>8</v>
          </cell>
          <cell r="K45">
            <v>10.433333333333332</v>
          </cell>
          <cell r="L45">
            <v>7.8709677419354822</v>
          </cell>
          <cell r="M45">
            <v>8.2333333333333343</v>
          </cell>
          <cell r="N45">
            <v>10.064516129032258</v>
          </cell>
          <cell r="O45">
            <v>8.129032258064516</v>
          </cell>
          <cell r="P45">
            <v>6.333333333333333</v>
          </cell>
          <cell r="Q45">
            <v>9.2258064516129021</v>
          </cell>
          <cell r="R45">
            <v>9</v>
          </cell>
          <cell r="S45">
            <v>8</v>
          </cell>
          <cell r="T45">
            <v>8.9677419354838737</v>
          </cell>
          <cell r="U45">
            <v>6.5862068965517251</v>
          </cell>
          <cell r="V45">
            <v>9.193548387096774</v>
          </cell>
          <cell r="W45">
            <v>9.5666666666666647</v>
          </cell>
          <cell r="X45">
            <v>9.0322580645161263</v>
          </cell>
          <cell r="Y45">
            <v>10.5</v>
          </cell>
          <cell r="Z45">
            <v>11.225806451612904</v>
          </cell>
          <cell r="AA45">
            <v>9.1935483870967758</v>
          </cell>
          <cell r="AB45">
            <v>8.0333333333333332</v>
          </cell>
          <cell r="AC45">
            <v>8.9677419354838701</v>
          </cell>
          <cell r="AD45">
            <v>9.8000000000000007</v>
          </cell>
          <cell r="AE45">
            <v>9.67741935483871</v>
          </cell>
          <cell r="AF45">
            <v>9.4516129032258043</v>
          </cell>
          <cell r="AG45">
            <v>7.4285714285714297</v>
          </cell>
          <cell r="AH45">
            <v>9.612903225806452</v>
          </cell>
          <cell r="AI45">
            <v>9.6</v>
          </cell>
          <cell r="AJ45">
            <v>8.5806451612903221</v>
          </cell>
          <cell r="AK45">
            <v>11.433333333333334</v>
          </cell>
          <cell r="AL45">
            <v>8.5161290322580641</v>
          </cell>
          <cell r="AM45">
            <v>8.5806451612903238</v>
          </cell>
          <cell r="AN45">
            <v>5.9666666666666668</v>
          </cell>
          <cell r="AO45">
            <v>7.5161290322580632</v>
          </cell>
          <cell r="AP45">
            <v>11.06666666666667</v>
          </cell>
          <cell r="AQ45">
            <v>9.7096774193548381</v>
          </cell>
          <cell r="AR45">
            <v>8.5483870967741939</v>
          </cell>
          <cell r="AS45">
            <v>9.2857142857142865</v>
          </cell>
          <cell r="AT45">
            <v>8.3548387096774182</v>
          </cell>
          <cell r="AU45">
            <v>10.5</v>
          </cell>
          <cell r="AV45">
            <v>9.2258064516129039</v>
          </cell>
          <cell r="AW45">
            <v>10.1</v>
          </cell>
        </row>
        <row r="46">
          <cell r="A46" t="str">
            <v>St Vincent's/FallRiver/2425Highland</v>
          </cell>
          <cell r="D46">
            <v>1.4333333333333331</v>
          </cell>
          <cell r="E46">
            <v>4.5483870967741939</v>
          </cell>
          <cell r="F46">
            <v>8.9333333333333336</v>
          </cell>
          <cell r="G46">
            <v>7.7741935483870961</v>
          </cell>
          <cell r="H46">
            <v>6.225806451612903</v>
          </cell>
          <cell r="I46">
            <v>6.4285714285714288</v>
          </cell>
          <cell r="J46">
            <v>6.935483870967742</v>
          </cell>
          <cell r="K46">
            <v>7.8</v>
          </cell>
          <cell r="L46">
            <v>7.193548387096774</v>
          </cell>
          <cell r="M46">
            <v>6.8333333333333339</v>
          </cell>
          <cell r="N46">
            <v>7.258064516129032</v>
          </cell>
          <cell r="O46">
            <v>7.935483870967742</v>
          </cell>
          <cell r="P46">
            <v>7.8</v>
          </cell>
          <cell r="Q46">
            <v>9</v>
          </cell>
          <cell r="R46">
            <v>8.9333333333333336</v>
          </cell>
          <cell r="S46">
            <v>7.064516129032258</v>
          </cell>
          <cell r="T46">
            <v>6.7419354838709671</v>
          </cell>
          <cell r="U46">
            <v>8.206896551724137</v>
          </cell>
          <cell r="V46">
            <v>8.935483870967742</v>
          </cell>
          <cell r="W46">
            <v>8.6333333333333329</v>
          </cell>
          <cell r="X46">
            <v>6.7741935483870961</v>
          </cell>
          <cell r="Y46">
            <v>6.9333333333333336</v>
          </cell>
          <cell r="Z46">
            <v>8.4838709677419359</v>
          </cell>
          <cell r="AA46">
            <v>8.2903225806451619</v>
          </cell>
          <cell r="AB46">
            <v>6.666666666666667</v>
          </cell>
          <cell r="AC46">
            <v>6.5161290322580641</v>
          </cell>
          <cell r="AD46">
            <v>8.1333333333333329</v>
          </cell>
          <cell r="AE46">
            <v>9.0645161290322598</v>
          </cell>
          <cell r="AF46">
            <v>7.4838709677419351</v>
          </cell>
          <cell r="AG46">
            <v>8.1071428571428577</v>
          </cell>
          <cell r="AH46">
            <v>8.935483870967742</v>
          </cell>
          <cell r="AI46">
            <v>8.9666666666666668</v>
          </cell>
          <cell r="AJ46">
            <v>8.5806451612903203</v>
          </cell>
          <cell r="AK46">
            <v>8.9</v>
          </cell>
          <cell r="AL46">
            <v>8.612903225806452</v>
          </cell>
          <cell r="AM46">
            <v>7.67741935483871</v>
          </cell>
          <cell r="AN46">
            <v>5.2</v>
          </cell>
          <cell r="AO46">
            <v>3.645161290322581</v>
          </cell>
          <cell r="AP46">
            <v>7.333333333333333</v>
          </cell>
          <cell r="AQ46">
            <v>8.3548387096774182</v>
          </cell>
          <cell r="AR46">
            <v>8.8709677419354822</v>
          </cell>
          <cell r="AS46">
            <v>6.5</v>
          </cell>
          <cell r="AT46">
            <v>7.1935483870967731</v>
          </cell>
          <cell r="AU46">
            <v>7.1333333333333337</v>
          </cell>
          <cell r="AV46">
            <v>8.935483870967742</v>
          </cell>
          <cell r="AW46">
            <v>8.9333333333333336</v>
          </cell>
        </row>
        <row r="47">
          <cell r="A47" t="str">
            <v>TeamCoord / Bradford / 4 S. Kimball</v>
          </cell>
          <cell r="D47">
            <v>1.9333333333333331</v>
          </cell>
          <cell r="E47">
            <v>5.6129032258064511</v>
          </cell>
          <cell r="F47">
            <v>8.9</v>
          </cell>
          <cell r="G47">
            <v>8.387096774193548</v>
          </cell>
          <cell r="H47">
            <v>8.4516129032258078</v>
          </cell>
          <cell r="I47">
            <v>8.8928571428571441</v>
          </cell>
          <cell r="J47">
            <v>9.4193548387096762</v>
          </cell>
          <cell r="K47">
            <v>9.1666666666666661</v>
          </cell>
          <cell r="L47">
            <v>9.4838709677419342</v>
          </cell>
          <cell r="M47">
            <v>8.9666666666666668</v>
          </cell>
          <cell r="N47">
            <v>5.8064516129032251</v>
          </cell>
          <cell r="O47">
            <v>5.064516129032258</v>
          </cell>
          <cell r="P47">
            <v>4.1333333333333329</v>
          </cell>
          <cell r="Q47">
            <v>5.419354838709677</v>
          </cell>
          <cell r="R47">
            <v>5.5</v>
          </cell>
          <cell r="S47">
            <v>4.7096774193548381</v>
          </cell>
          <cell r="T47">
            <v>5.354838709677419</v>
          </cell>
          <cell r="U47">
            <v>5.4482758620689653</v>
          </cell>
          <cell r="V47">
            <v>3.67741935483871</v>
          </cell>
          <cell r="W47">
            <v>3.9333333333333327</v>
          </cell>
          <cell r="X47">
            <v>4.064516129032258</v>
          </cell>
          <cell r="Y47">
            <v>3.4</v>
          </cell>
          <cell r="Z47">
            <v>5.32258064516129</v>
          </cell>
          <cell r="AA47">
            <v>4.258064516129032</v>
          </cell>
          <cell r="AB47">
            <v>3.1</v>
          </cell>
          <cell r="AC47">
            <v>5.096774193548387</v>
          </cell>
          <cell r="AD47">
            <v>5.0333333333333332</v>
          </cell>
          <cell r="AE47">
            <v>4.064516129032258</v>
          </cell>
          <cell r="AF47">
            <v>5.5161290322580641</v>
          </cell>
          <cell r="AG47">
            <v>4.6071428571428577</v>
          </cell>
          <cell r="AH47">
            <v>2.193548387096774</v>
          </cell>
          <cell r="AI47">
            <v>3.7</v>
          </cell>
          <cell r="AJ47">
            <v>5.7419354838709671</v>
          </cell>
          <cell r="AK47">
            <v>5.3</v>
          </cell>
          <cell r="AL47">
            <v>3.8064516129032255</v>
          </cell>
          <cell r="AM47">
            <v>3.193548387096774</v>
          </cell>
          <cell r="AN47">
            <v>3.7666666666666666</v>
          </cell>
          <cell r="AO47">
            <v>4.32258064516129</v>
          </cell>
          <cell r="AP47">
            <v>2.6666666666666674</v>
          </cell>
          <cell r="AQ47">
            <v>3.354838709677419</v>
          </cell>
          <cell r="AR47">
            <v>4</v>
          </cell>
          <cell r="AS47">
            <v>4</v>
          </cell>
          <cell r="AT47">
            <v>4.4838709677419359</v>
          </cell>
          <cell r="AU47">
            <v>5.2333333333333325</v>
          </cell>
          <cell r="AV47">
            <v>5.741935483870968</v>
          </cell>
          <cell r="AW47">
            <v>4.5666666666666664</v>
          </cell>
        </row>
        <row r="48">
          <cell r="A48" t="str">
            <v>TeamCoord / Haverhill / 20NewcombSt</v>
          </cell>
          <cell r="D48">
            <v>3.3333333333333335</v>
          </cell>
          <cell r="E48">
            <v>4.258064516129032</v>
          </cell>
          <cell r="F48">
            <v>1.3</v>
          </cell>
          <cell r="K48">
            <v>6.6666666666666666E-2</v>
          </cell>
          <cell r="L48">
            <v>1.161290322580645</v>
          </cell>
          <cell r="M48">
            <v>1.9666666666666668</v>
          </cell>
          <cell r="N48">
            <v>5.4838709677419359</v>
          </cell>
          <cell r="O48">
            <v>1.2580645161290323</v>
          </cell>
          <cell r="P48">
            <v>3.333333333333333</v>
          </cell>
          <cell r="Q48">
            <v>3.903225806451613</v>
          </cell>
          <cell r="R48">
            <v>5.2</v>
          </cell>
          <cell r="S48">
            <v>5.064516129032258</v>
          </cell>
          <cell r="T48">
            <v>5.064516129032258</v>
          </cell>
          <cell r="U48">
            <v>5.931034482758621</v>
          </cell>
          <cell r="V48">
            <v>4.6774193548387091</v>
          </cell>
          <cell r="W48">
            <v>5.5</v>
          </cell>
          <cell r="X48">
            <v>5.3870967741935489</v>
          </cell>
          <cell r="Y48">
            <v>4.7</v>
          </cell>
          <cell r="Z48">
            <v>3.838709677419355</v>
          </cell>
          <cell r="AA48">
            <v>3.8064516129032251</v>
          </cell>
          <cell r="AB48">
            <v>5.9</v>
          </cell>
          <cell r="AC48">
            <v>5.838709677419355</v>
          </cell>
          <cell r="AD48">
            <v>4.2333333333333334</v>
          </cell>
          <cell r="AE48">
            <v>5.290322580645161</v>
          </cell>
          <cell r="AF48">
            <v>5.4838709677419351</v>
          </cell>
          <cell r="AG48">
            <v>2.3928571428571428</v>
          </cell>
          <cell r="AH48">
            <v>2.645161290322581</v>
          </cell>
          <cell r="AI48">
            <v>3.9666666666666663</v>
          </cell>
          <cell r="AJ48">
            <v>3.4838709677419355</v>
          </cell>
          <cell r="AK48">
            <v>1.3666666666666667</v>
          </cell>
          <cell r="AL48">
            <v>2.7419354838709671</v>
          </cell>
          <cell r="AM48">
            <v>4.8709677419354831</v>
          </cell>
          <cell r="AN48">
            <v>3.6333333333333333</v>
          </cell>
          <cell r="AO48">
            <v>5.129032258064516</v>
          </cell>
          <cell r="AP48">
            <v>4.5333333333333332</v>
          </cell>
          <cell r="AQ48">
            <v>4.032258064516129</v>
          </cell>
          <cell r="AR48">
            <v>5.32258064516129</v>
          </cell>
          <cell r="AS48">
            <v>5.2142857142857144</v>
          </cell>
          <cell r="AT48">
            <v>3.967741935483871</v>
          </cell>
          <cell r="AU48">
            <v>2.2999999999999998</v>
          </cell>
          <cell r="AV48">
            <v>5.032258064516129</v>
          </cell>
          <cell r="AW48">
            <v>3.4</v>
          </cell>
        </row>
        <row r="49">
          <cell r="A49" t="str">
            <v>TeamCoord/Wilmington/82HighSt</v>
          </cell>
          <cell r="D49">
            <v>1.8333333333333335</v>
          </cell>
          <cell r="E49">
            <v>4.741935483870968</v>
          </cell>
          <cell r="F49">
            <v>2.9333333333333336</v>
          </cell>
          <cell r="G49">
            <v>4.064516129032258</v>
          </cell>
          <cell r="H49">
            <v>3.5483870967741931</v>
          </cell>
          <cell r="I49">
            <v>3.6428571428571428</v>
          </cell>
          <cell r="J49">
            <v>3.4516129032258069</v>
          </cell>
          <cell r="K49">
            <v>4.8666666666666663</v>
          </cell>
          <cell r="L49">
            <v>4.6129032258064511</v>
          </cell>
          <cell r="M49">
            <v>5.0333333333333332</v>
          </cell>
          <cell r="N49">
            <v>4.838709677419355</v>
          </cell>
          <cell r="O49">
            <v>4.806451612903226</v>
          </cell>
          <cell r="P49">
            <v>3.7</v>
          </cell>
          <cell r="Q49">
            <v>3.806451612903226</v>
          </cell>
          <cell r="R49">
            <v>3.1333333333333333</v>
          </cell>
          <cell r="S49">
            <v>4.096774193548387</v>
          </cell>
          <cell r="T49">
            <v>4.935483870967742</v>
          </cell>
          <cell r="U49">
            <v>4.7931034482758621</v>
          </cell>
          <cell r="V49">
            <v>4.4838709677419351</v>
          </cell>
          <cell r="W49">
            <v>3.3333333333333335</v>
          </cell>
          <cell r="X49">
            <v>3.32258064516129</v>
          </cell>
          <cell r="Y49">
            <v>4.666666666666667</v>
          </cell>
          <cell r="Z49">
            <v>4.4516129032258061</v>
          </cell>
          <cell r="AA49">
            <v>4.4193548387096779</v>
          </cell>
          <cell r="AB49">
            <v>2.833333333333333</v>
          </cell>
          <cell r="AC49">
            <v>4.096774193548387</v>
          </cell>
          <cell r="AD49">
            <v>4.8666666666666663</v>
          </cell>
          <cell r="AE49">
            <v>4.354838709677419</v>
          </cell>
          <cell r="AF49">
            <v>2.967741935483871</v>
          </cell>
          <cell r="AG49">
            <v>4.5714285714285712</v>
          </cell>
          <cell r="AH49">
            <v>3.967741935483871</v>
          </cell>
          <cell r="AI49">
            <v>3.9666666666666672</v>
          </cell>
          <cell r="AJ49">
            <v>4.612903225806452</v>
          </cell>
          <cell r="AK49">
            <v>4.7333333333333334</v>
          </cell>
          <cell r="AL49">
            <v>4.3870967741935472</v>
          </cell>
          <cell r="AM49">
            <v>4.290322580645161</v>
          </cell>
          <cell r="AN49">
            <v>4.8333333333333339</v>
          </cell>
          <cell r="AO49">
            <v>4.870967741935484</v>
          </cell>
          <cell r="AP49">
            <v>4.5666666666666664</v>
          </cell>
          <cell r="AQ49">
            <v>4.838709677419355</v>
          </cell>
          <cell r="AR49">
            <v>4.4838709677419351</v>
          </cell>
          <cell r="AS49">
            <v>4.9642857142857144</v>
          </cell>
          <cell r="AT49">
            <v>4.709677419354839</v>
          </cell>
          <cell r="AU49">
            <v>4.833333333333333</v>
          </cell>
          <cell r="AV49">
            <v>4.8064516129032251</v>
          </cell>
          <cell r="AW49">
            <v>4.3</v>
          </cell>
        </row>
        <row r="50">
          <cell r="A50" t="str">
            <v>TheHome for LW/Walpole/399Lincoln</v>
          </cell>
          <cell r="C50">
            <v>1.6774193548387095</v>
          </cell>
          <cell r="D50">
            <v>2.7333333333333329</v>
          </cell>
          <cell r="E50">
            <v>5.129032258064516</v>
          </cell>
          <cell r="F50">
            <v>4.0999999999999996</v>
          </cell>
          <cell r="G50">
            <v>3.6774193548387095</v>
          </cell>
          <cell r="H50">
            <v>3.9354838709677415</v>
          </cell>
          <cell r="I50">
            <v>4.7857142857142856</v>
          </cell>
          <cell r="J50">
            <v>2.612903225806452</v>
          </cell>
          <cell r="K50">
            <v>5.6333333333333329</v>
          </cell>
          <cell r="L50">
            <v>5.580645161290323</v>
          </cell>
          <cell r="M50">
            <v>6.0333333333333332</v>
          </cell>
          <cell r="N50">
            <v>2.8064516129032255</v>
          </cell>
          <cell r="O50">
            <v>5.193548387096774</v>
          </cell>
          <cell r="P50">
            <v>5.3</v>
          </cell>
          <cell r="Q50">
            <v>5.064516129032258</v>
          </cell>
          <cell r="R50">
            <v>6.9666666666666668</v>
          </cell>
          <cell r="S50">
            <v>5.5161290322580649</v>
          </cell>
          <cell r="T50">
            <v>6</v>
          </cell>
          <cell r="U50">
            <v>7.5172413793103452</v>
          </cell>
          <cell r="V50">
            <v>6.6451612903225801</v>
          </cell>
          <cell r="W50">
            <v>7.2666666666666675</v>
          </cell>
          <cell r="X50">
            <v>6.7096774193548381</v>
          </cell>
          <cell r="Y50">
            <v>7.1333333333333329</v>
          </cell>
          <cell r="Z50">
            <v>6.32258064516129</v>
          </cell>
          <cell r="AA50">
            <v>7.32258064516129</v>
          </cell>
          <cell r="AB50">
            <v>6.8666666666666654</v>
          </cell>
          <cell r="AC50">
            <v>6.387096774193548</v>
          </cell>
          <cell r="AD50">
            <v>7</v>
          </cell>
          <cell r="AE50">
            <v>6.2903225806451601</v>
          </cell>
          <cell r="AF50">
            <v>6.258064516129032</v>
          </cell>
          <cell r="AG50">
            <v>7.4285714285714288</v>
          </cell>
          <cell r="AH50">
            <v>7.806451612903226</v>
          </cell>
          <cell r="AI50">
            <v>7.2</v>
          </cell>
          <cell r="AJ50">
            <v>7.580645161290323</v>
          </cell>
          <cell r="AK50">
            <v>6.9</v>
          </cell>
          <cell r="AL50">
            <v>6.5806451612903221</v>
          </cell>
          <cell r="AM50">
            <v>6.1612903225806459</v>
          </cell>
          <cell r="AN50">
            <v>4.3333333333333321</v>
          </cell>
          <cell r="AO50">
            <v>6.5483870967741939</v>
          </cell>
          <cell r="AP50">
            <v>6.4666666666666668</v>
          </cell>
          <cell r="AQ50">
            <v>6.064516129032258</v>
          </cell>
          <cell r="AR50">
            <v>6.1290322580645151</v>
          </cell>
          <cell r="AS50">
            <v>6.7857142857142847</v>
          </cell>
          <cell r="AT50">
            <v>7.032258064516129</v>
          </cell>
          <cell r="AU50">
            <v>6.9</v>
          </cell>
          <cell r="AV50">
            <v>5.354838709677419</v>
          </cell>
          <cell r="AW50">
            <v>6.2333333333333334</v>
          </cell>
        </row>
        <row r="51">
          <cell r="A51" t="str">
            <v>Wayside/Framingham/1FredrickAbbotWy</v>
          </cell>
          <cell r="AI51">
            <v>1.5</v>
          </cell>
          <cell r="AJ51">
            <v>20.064516129032256</v>
          </cell>
          <cell r="AK51">
            <v>18.066666666666666</v>
          </cell>
          <cell r="AL51">
            <v>20.451612903225808</v>
          </cell>
          <cell r="AM51">
            <v>20.161290322580641</v>
          </cell>
          <cell r="AN51">
            <v>19.633333333333329</v>
          </cell>
          <cell r="AO51">
            <v>18.806451612903231</v>
          </cell>
          <cell r="AP51">
            <v>19.533333333333328</v>
          </cell>
          <cell r="AQ51">
            <v>19.419354838709683</v>
          </cell>
          <cell r="AR51">
            <v>17.419354838709676</v>
          </cell>
          <cell r="AS51">
            <v>19.178571428571431</v>
          </cell>
          <cell r="AT51">
            <v>20</v>
          </cell>
          <cell r="AU51">
            <v>19.866666666666667</v>
          </cell>
          <cell r="AV51">
            <v>19.870967741935484</v>
          </cell>
          <cell r="AW51">
            <v>20.5</v>
          </cell>
        </row>
        <row r="52">
          <cell r="A52" t="str">
            <v>Wayside/Framingham/85Edgell Rd</v>
          </cell>
          <cell r="E52">
            <v>2.258064516129032</v>
          </cell>
          <cell r="F52">
            <v>3.3333333333333335</v>
          </cell>
          <cell r="G52">
            <v>3.6774193548387095</v>
          </cell>
          <cell r="H52">
            <v>3.7741935483870965</v>
          </cell>
          <cell r="I52">
            <v>2.25</v>
          </cell>
          <cell r="J52">
            <v>3.774193548387097</v>
          </cell>
          <cell r="K52">
            <v>3.8333333333333335</v>
          </cell>
          <cell r="L52">
            <v>3.5161290322580645</v>
          </cell>
          <cell r="M52">
            <v>3.5333333333333337</v>
          </cell>
          <cell r="N52">
            <v>3.838709677419355</v>
          </cell>
          <cell r="O52">
            <v>4.0322580645161299</v>
          </cell>
          <cell r="P52">
            <v>3.9666666666666668</v>
          </cell>
          <cell r="Q52">
            <v>3.935483870967742</v>
          </cell>
          <cell r="R52">
            <v>3.7</v>
          </cell>
          <cell r="S52">
            <v>3.838709677419355</v>
          </cell>
          <cell r="T52">
            <v>3.967741935483871</v>
          </cell>
          <cell r="U52">
            <v>3.9655172413793105</v>
          </cell>
          <cell r="V52">
            <v>4</v>
          </cell>
          <cell r="W52">
            <v>4</v>
          </cell>
          <cell r="X52">
            <v>3.5161290322580645</v>
          </cell>
          <cell r="Y52">
            <v>4.6666666666666661</v>
          </cell>
          <cell r="Z52">
            <v>4.290322580645161</v>
          </cell>
          <cell r="AA52">
            <v>3.8387096774193541</v>
          </cell>
          <cell r="AB52">
            <v>4</v>
          </cell>
          <cell r="AC52">
            <v>2.7096774193548385</v>
          </cell>
          <cell r="AD52">
            <v>3.5666666666666664</v>
          </cell>
          <cell r="AE52">
            <v>3.4516129032258065</v>
          </cell>
          <cell r="AF52">
            <v>2.967741935483871</v>
          </cell>
          <cell r="AG52">
            <v>3.8928571428571428</v>
          </cell>
          <cell r="AH52">
            <v>3.935483870967742</v>
          </cell>
          <cell r="AI52">
            <v>3.6</v>
          </cell>
        </row>
        <row r="53">
          <cell r="A53" t="str">
            <v>Wayside/Framingham/98DennisonAve</v>
          </cell>
          <cell r="E53">
            <v>8.612903225806452</v>
          </cell>
          <cell r="F53">
            <v>6.9333333333333336</v>
          </cell>
          <cell r="G53">
            <v>5.612903225806452</v>
          </cell>
          <cell r="H53">
            <v>5.645161290322581</v>
          </cell>
          <cell r="I53">
            <v>8</v>
          </cell>
          <cell r="J53">
            <v>8.6129032258064537</v>
          </cell>
          <cell r="K53">
            <v>7.4333333333333345</v>
          </cell>
          <cell r="L53">
            <v>8.0967741935483879</v>
          </cell>
          <cell r="M53">
            <v>8.3333333333333339</v>
          </cell>
          <cell r="N53">
            <v>7.419354838709677</v>
          </cell>
          <cell r="O53">
            <v>7.935483870967742</v>
          </cell>
          <cell r="P53">
            <v>5.8666666666666663</v>
          </cell>
          <cell r="Q53">
            <v>7.161290322580645</v>
          </cell>
          <cell r="R53">
            <v>7.6666666666666661</v>
          </cell>
          <cell r="S53">
            <v>7.838709677419355</v>
          </cell>
          <cell r="T53">
            <v>8.3225806451612918</v>
          </cell>
          <cell r="U53">
            <v>8.3793103448275854</v>
          </cell>
          <cell r="V53">
            <v>7.354838709677419</v>
          </cell>
          <cell r="W53">
            <v>8.2333333333333343</v>
          </cell>
          <cell r="X53">
            <v>6.9677419354838701</v>
          </cell>
          <cell r="Y53">
            <v>8</v>
          </cell>
          <cell r="Z53">
            <v>8.193548387096774</v>
          </cell>
          <cell r="AA53">
            <v>7.193548387096774</v>
          </cell>
          <cell r="AB53">
            <v>7.6</v>
          </cell>
          <cell r="AC53">
            <v>7.0322580645161281</v>
          </cell>
          <cell r="AD53">
            <v>8.4</v>
          </cell>
          <cell r="AE53">
            <v>7.129032258064516</v>
          </cell>
          <cell r="AF53">
            <v>6.6129032258064511</v>
          </cell>
          <cell r="AG53">
            <v>8.25</v>
          </cell>
          <cell r="AH53">
            <v>8.1612903225806441</v>
          </cell>
          <cell r="AI53">
            <v>7.7</v>
          </cell>
        </row>
        <row r="54">
          <cell r="A54" t="str">
            <v>Wayside/Waltham/558WaverleyOaksRd</v>
          </cell>
          <cell r="E54">
            <v>5.354838709677419</v>
          </cell>
          <cell r="F54">
            <v>5.4333333333333336</v>
          </cell>
          <cell r="G54">
            <v>6.0967741935483861</v>
          </cell>
          <cell r="H54">
            <v>7.6774193548387082</v>
          </cell>
          <cell r="I54">
            <v>6.9285714285714288</v>
          </cell>
          <cell r="J54">
            <v>8.3548387096774182</v>
          </cell>
          <cell r="K54">
            <v>8.2333333333333325</v>
          </cell>
          <cell r="L54">
            <v>7.3870967741935489</v>
          </cell>
          <cell r="M54">
            <v>7.833333333333333</v>
          </cell>
          <cell r="N54">
            <v>7.161290322580645</v>
          </cell>
          <cell r="O54">
            <v>6.6451612903225801</v>
          </cell>
          <cell r="P54">
            <v>6.0333333333333332</v>
          </cell>
          <cell r="Q54">
            <v>7.8064516129032251</v>
          </cell>
          <cell r="R54">
            <v>6.5</v>
          </cell>
          <cell r="S54">
            <v>6.6774193548387109</v>
          </cell>
          <cell r="T54">
            <v>7.4838709677419359</v>
          </cell>
          <cell r="U54">
            <v>7.5862068965517251</v>
          </cell>
          <cell r="V54">
            <v>6.4838709677419351</v>
          </cell>
          <cell r="W54">
            <v>7.5333333333333332</v>
          </cell>
          <cell r="X54">
            <v>7.4838709677419359</v>
          </cell>
          <cell r="Y54">
            <v>6.7666666666666657</v>
          </cell>
          <cell r="Z54">
            <v>7.612903225806452</v>
          </cell>
          <cell r="AA54">
            <v>8.1290322580645178</v>
          </cell>
          <cell r="AB54">
            <v>8.8333333333333321</v>
          </cell>
          <cell r="AC54">
            <v>7.4516129032258069</v>
          </cell>
          <cell r="AD54">
            <v>5.5666666666666664</v>
          </cell>
          <cell r="AE54">
            <v>7</v>
          </cell>
          <cell r="AF54">
            <v>7.5483870967741922</v>
          </cell>
          <cell r="AG54">
            <v>7.1785714285714279</v>
          </cell>
          <cell r="AH54">
            <v>8.0322580645161281</v>
          </cell>
          <cell r="AI54">
            <v>5.6333333333333346</v>
          </cell>
        </row>
        <row r="55">
          <cell r="A55" t="str">
            <v>YOU / Boylston / 1 Elmwood Place</v>
          </cell>
          <cell r="B55">
            <v>7.9354838709677411</v>
          </cell>
          <cell r="C55">
            <v>8.4838709677419359</v>
          </cell>
          <cell r="D55">
            <v>8.8666666666666654</v>
          </cell>
          <cell r="E55">
            <v>8.4193548387096779</v>
          </cell>
          <cell r="F55">
            <v>7.5333333333333332</v>
          </cell>
          <cell r="G55">
            <v>7</v>
          </cell>
          <cell r="H55">
            <v>7.806451612903226</v>
          </cell>
          <cell r="I55">
            <v>7.75</v>
          </cell>
          <cell r="J55">
            <v>7</v>
          </cell>
          <cell r="K55">
            <v>8.3000000000000007</v>
          </cell>
          <cell r="L55">
            <v>8.3548387096774182</v>
          </cell>
          <cell r="M55">
            <v>8.8333333333333339</v>
          </cell>
          <cell r="N55">
            <v>8.935483870967742</v>
          </cell>
          <cell r="O55">
            <v>8.7096774193548381</v>
          </cell>
          <cell r="P55">
            <v>8.033333333333335</v>
          </cell>
          <cell r="Q55">
            <v>9</v>
          </cell>
          <cell r="R55">
            <v>8.1</v>
          </cell>
          <cell r="S55">
            <v>8.9677419354838719</v>
          </cell>
          <cell r="T55">
            <v>7.838709677419355</v>
          </cell>
          <cell r="U55">
            <v>9</v>
          </cell>
          <cell r="V55">
            <v>8.806451612903226</v>
          </cell>
          <cell r="W55">
            <v>8.9333333333333336</v>
          </cell>
          <cell r="X55">
            <v>9</v>
          </cell>
          <cell r="Y55">
            <v>7.9333333333333336</v>
          </cell>
          <cell r="Z55">
            <v>7.9032258064516121</v>
          </cell>
          <cell r="AA55">
            <v>6.8709677419354831</v>
          </cell>
          <cell r="AB55">
            <v>7.9333333333333336</v>
          </cell>
          <cell r="AC55">
            <v>7.4838709677419351</v>
          </cell>
          <cell r="AD55">
            <v>7.3666666666666663</v>
          </cell>
          <cell r="AE55">
            <v>7.6451612903225801</v>
          </cell>
          <cell r="AF55">
            <v>7.612903225806452</v>
          </cell>
          <cell r="AG55">
            <v>7.9285714285714288</v>
          </cell>
          <cell r="AH55">
            <v>7.67741935483871</v>
          </cell>
          <cell r="AI55">
            <v>8.1</v>
          </cell>
          <cell r="AJ55">
            <v>8.387096774193548</v>
          </cell>
          <cell r="AK55">
            <v>8.466666666666665</v>
          </cell>
          <cell r="AL55">
            <v>7.8387096774193541</v>
          </cell>
          <cell r="AM55">
            <v>8.1290322580645178</v>
          </cell>
          <cell r="AN55">
            <v>7.8666666666666671</v>
          </cell>
          <cell r="AO55">
            <v>8.4516129032258078</v>
          </cell>
          <cell r="AP55">
            <v>7.3666666666666654</v>
          </cell>
          <cell r="AQ55">
            <v>6.9677419354838701</v>
          </cell>
          <cell r="AR55">
            <v>6.967741935483871</v>
          </cell>
          <cell r="AS55">
            <v>8.5357142857142847</v>
          </cell>
          <cell r="AT55">
            <v>8.0967741935483861</v>
          </cell>
          <cell r="AU55">
            <v>7.2333333333333334</v>
          </cell>
          <cell r="AV55">
            <v>8.4516129032258078</v>
          </cell>
          <cell r="AW55">
            <v>7.3333333333333321</v>
          </cell>
        </row>
        <row r="56">
          <cell r="A56" t="str">
            <v>YOU / Worcester / 37 Boylston</v>
          </cell>
          <cell r="B56">
            <v>4.645161290322581</v>
          </cell>
          <cell r="C56">
            <v>5.5161290322580649</v>
          </cell>
          <cell r="D56">
            <v>5.9</v>
          </cell>
          <cell r="E56">
            <v>5.935483870967742</v>
          </cell>
          <cell r="F56">
            <v>5.7</v>
          </cell>
          <cell r="G56">
            <v>5.419354838709677</v>
          </cell>
          <cell r="H56">
            <v>6.387096774193548</v>
          </cell>
          <cell r="I56">
            <v>6.3214285714285712</v>
          </cell>
          <cell r="J56">
            <v>7.806451612903226</v>
          </cell>
          <cell r="K56">
            <v>6.5333333333333341</v>
          </cell>
          <cell r="L56">
            <v>6</v>
          </cell>
          <cell r="M56">
            <v>5.5333333333333332</v>
          </cell>
          <cell r="N56">
            <v>5.5483870967741939</v>
          </cell>
          <cell r="O56">
            <v>5.741935483870968</v>
          </cell>
          <cell r="P56">
            <v>5.7666666666666666</v>
          </cell>
          <cell r="Q56">
            <v>6</v>
          </cell>
          <cell r="R56">
            <v>6</v>
          </cell>
          <cell r="S56">
            <v>5.645161290322581</v>
          </cell>
          <cell r="T56">
            <v>5.5161290322580641</v>
          </cell>
          <cell r="U56">
            <v>5.6551724137931032</v>
          </cell>
          <cell r="V56">
            <v>5.419354838709677</v>
          </cell>
          <cell r="W56">
            <v>5.9666666666666668</v>
          </cell>
          <cell r="X56">
            <v>5.967741935483871</v>
          </cell>
          <cell r="Y56">
            <v>5.8333333333333339</v>
          </cell>
          <cell r="Z56">
            <v>5.5806451612903221</v>
          </cell>
          <cell r="AA56">
            <v>6.774193548387097</v>
          </cell>
          <cell r="AB56">
            <v>6.9666666666666668</v>
          </cell>
          <cell r="AC56">
            <v>5.387096774193548</v>
          </cell>
          <cell r="AD56">
            <v>5.5</v>
          </cell>
          <cell r="AE56">
            <v>5.32258064516129</v>
          </cell>
          <cell r="AF56">
            <v>7</v>
          </cell>
          <cell r="AG56">
            <v>6.7857142857142856</v>
          </cell>
          <cell r="AH56">
            <v>6.4516129032258069</v>
          </cell>
          <cell r="AI56">
            <v>5.166666666666667</v>
          </cell>
          <cell r="AJ56">
            <v>5.064516129032258</v>
          </cell>
          <cell r="AK56">
            <v>5.8</v>
          </cell>
          <cell r="AL56">
            <v>5.67741935483871</v>
          </cell>
          <cell r="AM56">
            <v>5.838709677419355</v>
          </cell>
          <cell r="AN56">
            <v>4.9333333333333336</v>
          </cell>
          <cell r="AO56">
            <v>5.67741935483871</v>
          </cell>
          <cell r="AP56">
            <v>5.7</v>
          </cell>
          <cell r="AQ56">
            <v>5.032258064516129</v>
          </cell>
          <cell r="AR56">
            <v>4.967741935483871</v>
          </cell>
          <cell r="AS56">
            <v>4.8571428571428577</v>
          </cell>
          <cell r="AT56">
            <v>4.935483870967742</v>
          </cell>
          <cell r="AU56">
            <v>4.0999999999999996</v>
          </cell>
          <cell r="AV56">
            <v>4.870967741935484</v>
          </cell>
          <cell r="AW56">
            <v>4.0333333333333332</v>
          </cell>
        </row>
        <row r="263">
          <cell r="C263" t="str">
            <v>Bay State CS / Plymouth / 475 State 1</v>
          </cell>
          <cell r="D263" t="str">
            <v>Brockton Area Office</v>
          </cell>
          <cell r="AA263">
            <v>6.4516129032258063E-2</v>
          </cell>
          <cell r="AB263">
            <v>1</v>
          </cell>
          <cell r="AC263">
            <v>6.4516129032258063E-2</v>
          </cell>
          <cell r="AG263">
            <v>0.46666666666666667</v>
          </cell>
          <cell r="AH263">
            <v>3.2258064516129031E-2</v>
          </cell>
          <cell r="AJ263">
            <v>0.6428571428571429</v>
          </cell>
          <cell r="AK263">
            <v>1.3870967741935485</v>
          </cell>
          <cell r="AL263">
            <v>0.43333333333333335</v>
          </cell>
          <cell r="AM263">
            <v>1.032258064516129</v>
          </cell>
          <cell r="AN263">
            <v>1.1000000000000001</v>
          </cell>
          <cell r="AO263">
            <v>1</v>
          </cell>
          <cell r="AP263">
            <v>0.41935483870967744</v>
          </cell>
          <cell r="AS263">
            <v>0.36666666666666664</v>
          </cell>
          <cell r="AU263">
            <v>0.77419354838709675</v>
          </cell>
          <cell r="AV263">
            <v>1</v>
          </cell>
          <cell r="AW263">
            <v>1</v>
          </cell>
          <cell r="AX263">
            <v>0.73333333333333328</v>
          </cell>
          <cell r="AY263">
            <v>1</v>
          </cell>
          <cell r="AZ263">
            <v>1</v>
          </cell>
        </row>
        <row r="264">
          <cell r="C264" t="str">
            <v>Bay State CS / Plymouth / 475 State 2</v>
          </cell>
          <cell r="D264" t="str">
            <v>Cape Cod Area Office</v>
          </cell>
          <cell r="AT264">
            <v>9.6774193548387094E-2</v>
          </cell>
          <cell r="AW264">
            <v>1.3870967741935485</v>
          </cell>
          <cell r="AX264">
            <v>1.0333333333333334</v>
          </cell>
          <cell r="AY264">
            <v>1</v>
          </cell>
          <cell r="AZ264">
            <v>0.13333333333333333</v>
          </cell>
        </row>
        <row r="265">
          <cell r="C265" t="str">
            <v>Bay State CS / Plymouth / 475 State 3</v>
          </cell>
          <cell r="D265" t="str">
            <v>Coastal Area Office</v>
          </cell>
          <cell r="Q265">
            <v>0.12903225806451613</v>
          </cell>
          <cell r="W265">
            <v>0.67741935483870963</v>
          </cell>
          <cell r="X265">
            <v>0.41379310344827591</v>
          </cell>
          <cell r="AD265">
            <v>6.4516129032258063E-2</v>
          </cell>
        </row>
        <row r="266">
          <cell r="C266" t="str">
            <v>Bay State CS / Plymouth / 475 State 4</v>
          </cell>
          <cell r="D266" t="str">
            <v>Fall River Area Office</v>
          </cell>
          <cell r="S266">
            <v>0.2</v>
          </cell>
          <cell r="T266">
            <v>0.35483870967741937</v>
          </cell>
          <cell r="AA266">
            <v>9.6774193548387094E-2</v>
          </cell>
          <cell r="AB266">
            <v>3.3333333333333333E-2</v>
          </cell>
          <cell r="AD266">
            <v>0.32258064516129031</v>
          </cell>
          <cell r="AX266">
            <v>0.43333333333333335</v>
          </cell>
          <cell r="AZ266">
            <v>0.2</v>
          </cell>
        </row>
        <row r="267">
          <cell r="C267" t="str">
            <v>Bay State CS / Plymouth / 475 State 5</v>
          </cell>
          <cell r="D267" t="str">
            <v>New Bedford Area Office</v>
          </cell>
          <cell r="AK267">
            <v>6.4516129032258063E-2</v>
          </cell>
          <cell r="AL267">
            <v>0.43333333333333329</v>
          </cell>
          <cell r="AN267">
            <v>0.16666666666666666</v>
          </cell>
          <cell r="AO267">
            <v>9.6774193548387094E-2</v>
          </cell>
          <cell r="AR267">
            <v>0.16129032258064516</v>
          </cell>
          <cell r="AT267">
            <v>0.967741935483871</v>
          </cell>
          <cell r="AU267">
            <v>1.2903225806451613</v>
          </cell>
          <cell r="AV267">
            <v>1.7857142857142856</v>
          </cell>
          <cell r="AX267">
            <v>6.6666666666666666E-2</v>
          </cell>
          <cell r="AY267">
            <v>0.74193548387096775</v>
          </cell>
          <cell r="AZ267">
            <v>1.0666666666666667</v>
          </cell>
        </row>
        <row r="268">
          <cell r="C268" t="str">
            <v>Bay State CS / Plymouth / 475 State 6</v>
          </cell>
          <cell r="D268" t="str">
            <v>Plymouth Area Office</v>
          </cell>
          <cell r="O268">
            <v>9.6774193548387094E-2</v>
          </cell>
          <cell r="P268">
            <v>5.7</v>
          </cell>
          <cell r="Q268">
            <v>8.5806451612903221</v>
          </cell>
          <cell r="R268">
            <v>8</v>
          </cell>
          <cell r="S268">
            <v>4.8333333333333321</v>
          </cell>
          <cell r="T268">
            <v>9.9354838709677402</v>
          </cell>
          <cell r="U268">
            <v>11.366666666666667</v>
          </cell>
          <cell r="V268">
            <v>10.61290322580645</v>
          </cell>
          <cell r="W268">
            <v>10.225806451612904</v>
          </cell>
          <cell r="X268">
            <v>8.4482758620689662</v>
          </cell>
          <cell r="Y268">
            <v>10.870967741935482</v>
          </cell>
          <cell r="Z268">
            <v>12.066666666666666</v>
          </cell>
          <cell r="AA268">
            <v>10</v>
          </cell>
          <cell r="AB268">
            <v>10.3</v>
          </cell>
          <cell r="AC268">
            <v>10.387096774193548</v>
          </cell>
          <cell r="AD268">
            <v>10.129032258064516</v>
          </cell>
          <cell r="AE268">
            <v>10.933333333333334</v>
          </cell>
          <cell r="AF268">
            <v>9.9677419354838701</v>
          </cell>
          <cell r="AG268">
            <v>9.0666666666666664</v>
          </cell>
          <cell r="AH268">
            <v>11.258064516129032</v>
          </cell>
          <cell r="AI268">
            <v>10.870967741935484</v>
          </cell>
          <cell r="AJ268">
            <v>7.7857142857142865</v>
          </cell>
          <cell r="AK268">
            <v>8.0322580645161281</v>
          </cell>
          <cell r="AL268">
            <v>9.9</v>
          </cell>
          <cell r="AM268">
            <v>7.806451612903226</v>
          </cell>
          <cell r="AN268">
            <v>8.2333333333333325</v>
          </cell>
          <cell r="AO268">
            <v>5.870967741935484</v>
          </cell>
          <cell r="AP268">
            <v>9.0645161290322598</v>
          </cell>
          <cell r="AQ268">
            <v>9.6999999999999993</v>
          </cell>
          <cell r="AR268">
            <v>9.935483870967742</v>
          </cell>
          <cell r="AS268">
            <v>8.4666666666666668</v>
          </cell>
          <cell r="AT268">
            <v>7.8387096774193541</v>
          </cell>
          <cell r="AU268">
            <v>6.8387096774193541</v>
          </cell>
          <cell r="AV268">
            <v>6.5357142857142856</v>
          </cell>
          <cell r="AW268">
            <v>4.161290322580645</v>
          </cell>
          <cell r="AX268">
            <v>4.8666666666666663</v>
          </cell>
          <cell r="AY268">
            <v>8.7096774193548381</v>
          </cell>
          <cell r="AZ268">
            <v>9.1</v>
          </cell>
        </row>
        <row r="269">
          <cell r="C269" t="str">
            <v>Bay State CS / Plymouth / 475 State 7</v>
          </cell>
          <cell r="D269" t="str">
            <v>Solutions for Living (PAS SE)</v>
          </cell>
          <cell r="AF269">
            <v>0.93548387096774188</v>
          </cell>
          <cell r="AG269">
            <v>0.5</v>
          </cell>
          <cell r="AN269">
            <v>0.23333333333333334</v>
          </cell>
          <cell r="AO269">
            <v>0.16129032258064516</v>
          </cell>
          <cell r="AX269">
            <v>0.2</v>
          </cell>
        </row>
        <row r="270">
          <cell r="C270" t="str">
            <v>Bay State CS / Plymouth / 475 State 8</v>
          </cell>
          <cell r="D270" t="str">
            <v>Taunton/Attleboro Area Office</v>
          </cell>
          <cell r="T270">
            <v>0.16129032258064516</v>
          </cell>
          <cell r="AA270">
            <v>9.6774193548387094E-2</v>
          </cell>
        </row>
        <row r="271">
          <cell r="C271" t="str">
            <v>Bay State CS / S.Weymouth/ 911 Main 1</v>
          </cell>
          <cell r="D271" t="str">
            <v>Arlington Area Office</v>
          </cell>
          <cell r="G271">
            <v>6.6666666666666666E-2</v>
          </cell>
          <cell r="H271">
            <v>9.6774193548387094E-2</v>
          </cell>
          <cell r="T271">
            <v>6.4516129032258063E-2</v>
          </cell>
          <cell r="U271">
            <v>0.96666666666666667</v>
          </cell>
          <cell r="V271">
            <v>0.32258064516129031</v>
          </cell>
          <cell r="X271">
            <v>3.4482758620689655E-2</v>
          </cell>
          <cell r="Y271">
            <v>6.4516129032258063E-2</v>
          </cell>
          <cell r="AB271">
            <v>3.3333333333333333E-2</v>
          </cell>
          <cell r="AP271">
            <v>0.12903225806451613</v>
          </cell>
        </row>
        <row r="272">
          <cell r="C272" t="str">
            <v>Bay State CS / S.Weymouth/ 911 Main 2</v>
          </cell>
          <cell r="D272" t="str">
            <v>Brockton Area Office</v>
          </cell>
          <cell r="AM272">
            <v>6.4516129032258063E-2</v>
          </cell>
          <cell r="AO272">
            <v>0.80645161290322576</v>
          </cell>
          <cell r="AP272">
            <v>0.70967741935483875</v>
          </cell>
          <cell r="AQ272">
            <v>0.9</v>
          </cell>
          <cell r="AU272">
            <v>3.2258064516129031E-2</v>
          </cell>
          <cell r="AV272">
            <v>0.42857142857142855</v>
          </cell>
          <cell r="AX272">
            <v>0.53333333333333333</v>
          </cell>
          <cell r="AY272">
            <v>0.41935483870967744</v>
          </cell>
        </row>
        <row r="273">
          <cell r="C273" t="str">
            <v>Bay State CS / S.Weymouth/ 911 Main 3</v>
          </cell>
          <cell r="D273" t="str">
            <v>Cambridge Area Office</v>
          </cell>
          <cell r="H273">
            <v>0.19354838709677419</v>
          </cell>
          <cell r="AY273">
            <v>0.67741935483870963</v>
          </cell>
          <cell r="AZ273">
            <v>0.3</v>
          </cell>
        </row>
        <row r="274">
          <cell r="C274" t="str">
            <v>Bay State CS / S.Weymouth/ 911 Main 4</v>
          </cell>
          <cell r="D274" t="str">
            <v>Cape Cod Area Office</v>
          </cell>
          <cell r="U274">
            <v>3.3333333333333333E-2</v>
          </cell>
        </row>
        <row r="275">
          <cell r="C275" t="str">
            <v>Bay State CS / S.Weymouth/ 911 Main 5</v>
          </cell>
          <cell r="D275" t="str">
            <v>Coastal Area Office</v>
          </cell>
          <cell r="G275">
            <v>5.7333333333333334</v>
          </cell>
          <cell r="H275">
            <v>5.7419354838709671</v>
          </cell>
          <cell r="I275">
            <v>8.2666666666666675</v>
          </cell>
          <cell r="J275">
            <v>7.6774193548387091</v>
          </cell>
          <cell r="K275">
            <v>7</v>
          </cell>
          <cell r="L275">
            <v>5.5</v>
          </cell>
          <cell r="M275">
            <v>7.4516129032258061</v>
          </cell>
          <cell r="N275">
            <v>8.6333333333333329</v>
          </cell>
          <cell r="O275">
            <v>7.67741935483871</v>
          </cell>
          <cell r="P275">
            <v>8.3333333333333321</v>
          </cell>
          <cell r="Q275">
            <v>7.9677419354838692</v>
          </cell>
          <cell r="R275">
            <v>8.258064516129032</v>
          </cell>
          <cell r="S275">
            <v>7.6</v>
          </cell>
          <cell r="T275">
            <v>7.9677419354838701</v>
          </cell>
          <cell r="U275">
            <v>7.8</v>
          </cell>
          <cell r="V275">
            <v>8.2903225806451601</v>
          </cell>
          <cell r="W275">
            <v>7.7741935483870961</v>
          </cell>
          <cell r="X275">
            <v>7.2758620689655169</v>
          </cell>
          <cell r="Y275">
            <v>7</v>
          </cell>
          <cell r="Z275">
            <v>7.6333333333333346</v>
          </cell>
          <cell r="AA275">
            <v>7.4516129032258052</v>
          </cell>
          <cell r="AB275">
            <v>7.6</v>
          </cell>
          <cell r="AC275">
            <v>7.612903225806452</v>
          </cell>
          <cell r="AD275">
            <v>5.064516129032258</v>
          </cell>
          <cell r="AE275">
            <v>5.6333333333333329</v>
          </cell>
          <cell r="AF275">
            <v>7.064516129032258</v>
          </cell>
          <cell r="AG275">
            <v>8.6999999999999993</v>
          </cell>
          <cell r="AH275">
            <v>7.935483870967742</v>
          </cell>
          <cell r="AI275">
            <v>7.6774193548387082</v>
          </cell>
          <cell r="AJ275">
            <v>6.5714285714285703</v>
          </cell>
          <cell r="AK275">
            <v>8</v>
          </cell>
          <cell r="AL275">
            <v>8.7333333333333325</v>
          </cell>
          <cell r="AM275">
            <v>5.225806451612903</v>
          </cell>
          <cell r="AN275">
            <v>8</v>
          </cell>
          <cell r="AO275">
            <v>5.4193548387096779</v>
          </cell>
          <cell r="AP275">
            <v>4.0645161290322571</v>
          </cell>
          <cell r="AQ275">
            <v>7.7</v>
          </cell>
          <cell r="AR275">
            <v>6.3548387096774182</v>
          </cell>
          <cell r="AS275">
            <v>6.3666666666666671</v>
          </cell>
          <cell r="AT275">
            <v>6.5483870967741939</v>
          </cell>
          <cell r="AU275">
            <v>5.1935483870967731</v>
          </cell>
          <cell r="AV275">
            <v>7.2857142857142865</v>
          </cell>
          <cell r="AW275">
            <v>7.5161290322580641</v>
          </cell>
          <cell r="AX275">
            <v>6.4</v>
          </cell>
          <cell r="AY275">
            <v>4.161290322580645</v>
          </cell>
          <cell r="AZ275">
            <v>7.4666666666666668</v>
          </cell>
        </row>
        <row r="276">
          <cell r="C276" t="str">
            <v>Bay State CS / S.Weymouth/ 911 Main 6</v>
          </cell>
          <cell r="D276" t="str">
            <v>Communities For People (Adop)</v>
          </cell>
          <cell r="AC276">
            <v>1</v>
          </cell>
          <cell r="AD276">
            <v>0.41935483870967744</v>
          </cell>
        </row>
        <row r="277">
          <cell r="C277" t="str">
            <v>Bay State CS / S.Weymouth/ 911 Main 7</v>
          </cell>
          <cell r="D277" t="str">
            <v>Dimock St. Area Office</v>
          </cell>
          <cell r="L277">
            <v>0.17857142857142855</v>
          </cell>
          <cell r="T277">
            <v>6.4516129032258063E-2</v>
          </cell>
        </row>
        <row r="278">
          <cell r="C278" t="str">
            <v>Bay State CS / S.Weymouth/ 911 Main 8</v>
          </cell>
          <cell r="D278" t="str">
            <v>Framingham Area Office</v>
          </cell>
          <cell r="G278">
            <v>0.16666666666666666</v>
          </cell>
          <cell r="AK278">
            <v>3.2258064516129031E-2</v>
          </cell>
          <cell r="AM278">
            <v>0.38709677419354838</v>
          </cell>
          <cell r="AN278">
            <v>6.6666666666666666E-2</v>
          </cell>
          <cell r="AP278">
            <v>0.25806451612903225</v>
          </cell>
          <cell r="AS278">
            <v>1.4666666666666668</v>
          </cell>
          <cell r="AT278">
            <v>0.32258064516129031</v>
          </cell>
        </row>
        <row r="279">
          <cell r="C279" t="str">
            <v>Bay State CS / S.Weymouth/ 911 Main 9</v>
          </cell>
          <cell r="D279" t="str">
            <v>Harbor Area Office</v>
          </cell>
          <cell r="AI279">
            <v>0.12903225806451613</v>
          </cell>
          <cell r="AO279">
            <v>9.6774193548387094E-2</v>
          </cell>
        </row>
        <row r="280">
          <cell r="C280" t="str">
            <v>Bay State CS / S.Weymouth/ 911 Main 10</v>
          </cell>
          <cell r="D280" t="str">
            <v>Hyde Park Area Office</v>
          </cell>
          <cell r="AL280">
            <v>0.13333333333333333</v>
          </cell>
        </row>
        <row r="281">
          <cell r="C281" t="str">
            <v>Bay State CS / S.Weymouth/ 911 Main 11</v>
          </cell>
          <cell r="D281" t="str">
            <v>Lynn Area Office</v>
          </cell>
          <cell r="AF281">
            <v>0.70967741935483875</v>
          </cell>
        </row>
        <row r="282">
          <cell r="C282" t="str">
            <v>Bay State CS / S.Weymouth/ 911 Main 12</v>
          </cell>
          <cell r="D282" t="str">
            <v>Malden Area Office</v>
          </cell>
          <cell r="H282">
            <v>3.2258064516129031E-2</v>
          </cell>
          <cell r="AK282">
            <v>6.4516129032258063E-2</v>
          </cell>
          <cell r="AM282">
            <v>9.6774193548387094E-2</v>
          </cell>
        </row>
        <row r="283">
          <cell r="C283" t="str">
            <v>Bay State CS / S.Weymouth/ 911 Main 13</v>
          </cell>
          <cell r="D283" t="str">
            <v>Plymouth Area Office</v>
          </cell>
          <cell r="K283">
            <v>0.45161290322580644</v>
          </cell>
          <cell r="L283">
            <v>1</v>
          </cell>
          <cell r="M283">
            <v>0.35483870967741937</v>
          </cell>
          <cell r="W283">
            <v>0.67741935483870963</v>
          </cell>
        </row>
        <row r="284">
          <cell r="C284" t="str">
            <v>Bay State CS / S.Weymouth/ 911 Main 14</v>
          </cell>
          <cell r="D284" t="str">
            <v>Worcester East Area Office</v>
          </cell>
          <cell r="AM284">
            <v>0.29032258064516131</v>
          </cell>
        </row>
        <row r="285">
          <cell r="C285" t="str">
            <v>Brandon/Natick/27Winter St 1</v>
          </cell>
          <cell r="D285" t="str">
            <v>Arlington Area Office</v>
          </cell>
          <cell r="G285">
            <v>0.43333333333333335</v>
          </cell>
          <cell r="H285">
            <v>0.64516129032258063</v>
          </cell>
          <cell r="I285">
            <v>0.6</v>
          </cell>
          <cell r="J285">
            <v>1</v>
          </cell>
          <cell r="K285">
            <v>1</v>
          </cell>
          <cell r="L285">
            <v>1.3214285714285714</v>
          </cell>
          <cell r="M285">
            <v>0.54838709677419351</v>
          </cell>
          <cell r="N285">
            <v>0.13333333333333333</v>
          </cell>
          <cell r="O285">
            <v>1</v>
          </cell>
          <cell r="P285">
            <v>1</v>
          </cell>
          <cell r="Q285">
            <v>1</v>
          </cell>
          <cell r="R285">
            <v>0.967741935483871</v>
          </cell>
          <cell r="S285">
            <v>1</v>
          </cell>
          <cell r="T285">
            <v>0.93548387096774188</v>
          </cell>
          <cell r="U285">
            <v>0.96666666666666667</v>
          </cell>
          <cell r="V285">
            <v>0.90322580645161288</v>
          </cell>
          <cell r="W285">
            <v>1</v>
          </cell>
          <cell r="X285">
            <v>1</v>
          </cell>
          <cell r="Y285">
            <v>0.22580645161290322</v>
          </cell>
          <cell r="Z285">
            <v>1.3</v>
          </cell>
          <cell r="AA285">
            <v>1.2258064516129032</v>
          </cell>
          <cell r="AB285">
            <v>0.93333333333333335</v>
          </cell>
          <cell r="AC285">
            <v>1</v>
          </cell>
          <cell r="AD285">
            <v>1</v>
          </cell>
          <cell r="AE285">
            <v>1</v>
          </cell>
          <cell r="AF285">
            <v>1.3225806451612903</v>
          </cell>
          <cell r="AG285">
            <v>1.9666666666666668</v>
          </cell>
          <cell r="AH285">
            <v>1.5806451612903225</v>
          </cell>
          <cell r="AI285">
            <v>0.87096774193548387</v>
          </cell>
          <cell r="AJ285">
            <v>1</v>
          </cell>
          <cell r="AK285">
            <v>0.83870967741935487</v>
          </cell>
          <cell r="AL285">
            <v>0.43333333333333335</v>
          </cell>
          <cell r="AM285">
            <v>0.77419354838709675</v>
          </cell>
          <cell r="AN285">
            <v>1.1000000000000001</v>
          </cell>
          <cell r="AO285">
            <v>1</v>
          </cell>
          <cell r="AP285">
            <v>1</v>
          </cell>
          <cell r="AQ285">
            <v>1</v>
          </cell>
          <cell r="AR285">
            <v>1</v>
          </cell>
          <cell r="AS285">
            <v>1.2</v>
          </cell>
          <cell r="AT285">
            <v>1.096774193548387</v>
          </cell>
          <cell r="AU285">
            <v>0.87096774193548387</v>
          </cell>
          <cell r="AV285">
            <v>0.7142857142857143</v>
          </cell>
          <cell r="AW285">
            <v>2.064516129032258</v>
          </cell>
          <cell r="AX285">
            <v>2</v>
          </cell>
          <cell r="AY285">
            <v>0.54838709677419351</v>
          </cell>
          <cell r="AZ285">
            <v>1</v>
          </cell>
        </row>
        <row r="286">
          <cell r="C286" t="str">
            <v>Brandon/Natick/27Winter St 2</v>
          </cell>
          <cell r="D286" t="str">
            <v>Cambridge Area Office</v>
          </cell>
          <cell r="G286">
            <v>0.6333333333333333</v>
          </cell>
          <cell r="H286">
            <v>1.096774193548387</v>
          </cell>
          <cell r="I286">
            <v>0.7</v>
          </cell>
          <cell r="J286">
            <v>1</v>
          </cell>
          <cell r="K286">
            <v>0.77419354838709675</v>
          </cell>
          <cell r="L286">
            <v>1</v>
          </cell>
          <cell r="M286">
            <v>0.96774193548387089</v>
          </cell>
          <cell r="N286">
            <v>1.1000000000000001</v>
          </cell>
          <cell r="O286">
            <v>0.80645161290322576</v>
          </cell>
          <cell r="P286">
            <v>1</v>
          </cell>
          <cell r="Q286">
            <v>1</v>
          </cell>
          <cell r="R286">
            <v>0.5161290322580645</v>
          </cell>
          <cell r="S286">
            <v>0.13333333333333333</v>
          </cell>
          <cell r="T286">
            <v>0.87096774193548387</v>
          </cell>
          <cell r="U286">
            <v>1</v>
          </cell>
          <cell r="V286">
            <v>1</v>
          </cell>
          <cell r="W286">
            <v>1</v>
          </cell>
          <cell r="X286">
            <v>0.7931034482758621</v>
          </cell>
          <cell r="Y286">
            <v>1</v>
          </cell>
          <cell r="Z286">
            <v>0.73333333333333328</v>
          </cell>
          <cell r="AB286">
            <v>0.6333333333333333</v>
          </cell>
          <cell r="AC286">
            <v>1</v>
          </cell>
          <cell r="AD286">
            <v>0.61290322580645162</v>
          </cell>
          <cell r="AF286">
            <v>0.74193548387096775</v>
          </cell>
          <cell r="AG286">
            <v>0.8666666666666667</v>
          </cell>
          <cell r="AH286">
            <v>1</v>
          </cell>
          <cell r="AI286">
            <v>0.80645161290322576</v>
          </cell>
          <cell r="AJ286">
            <v>0.89285714285714279</v>
          </cell>
          <cell r="AK286">
            <v>0.4838709677419355</v>
          </cell>
          <cell r="AL286">
            <v>0.93333333333333335</v>
          </cell>
          <cell r="AM286">
            <v>1</v>
          </cell>
          <cell r="AN286">
            <v>0.43333333333333335</v>
          </cell>
          <cell r="AO286">
            <v>0.90322580645161288</v>
          </cell>
          <cell r="AP286">
            <v>0.61290322580645162</v>
          </cell>
          <cell r="AQ286">
            <v>0.8</v>
          </cell>
          <cell r="AR286">
            <v>1</v>
          </cell>
          <cell r="AS286">
            <v>1</v>
          </cell>
          <cell r="AT286">
            <v>1</v>
          </cell>
          <cell r="AU286">
            <v>1</v>
          </cell>
          <cell r="AV286">
            <v>0.8214285714285714</v>
          </cell>
          <cell r="AW286">
            <v>0.74193548387096775</v>
          </cell>
          <cell r="AX286">
            <v>1</v>
          </cell>
          <cell r="AY286">
            <v>0.967741935483871</v>
          </cell>
          <cell r="AZ286">
            <v>1</v>
          </cell>
        </row>
        <row r="287">
          <cell r="C287" t="str">
            <v>Brandon/Natick/27Winter St 3</v>
          </cell>
          <cell r="D287" t="str">
            <v>Coastal Area Office</v>
          </cell>
          <cell r="AA287">
            <v>0.58064516129032262</v>
          </cell>
          <cell r="AB287">
            <v>1</v>
          </cell>
          <cell r="AC287">
            <v>0.967741935483871</v>
          </cell>
          <cell r="AL287">
            <v>0.46666666666666667</v>
          </cell>
          <cell r="AM287">
            <v>1</v>
          </cell>
          <cell r="AN287">
            <v>1</v>
          </cell>
          <cell r="AO287">
            <v>0.19354838709677419</v>
          </cell>
        </row>
        <row r="288">
          <cell r="C288" t="str">
            <v>Brandon/Natick/27Winter St 4</v>
          </cell>
          <cell r="D288" t="str">
            <v>Dimock St. Area Office</v>
          </cell>
          <cell r="K288">
            <v>0.77419354838709675</v>
          </cell>
          <cell r="L288">
            <v>0.75</v>
          </cell>
          <cell r="M288">
            <v>0.77419354838709675</v>
          </cell>
          <cell r="N288">
            <v>0.3</v>
          </cell>
          <cell r="V288">
            <v>0.4838709677419355</v>
          </cell>
          <cell r="W288">
            <v>1</v>
          </cell>
          <cell r="X288">
            <v>0.24137931034482757</v>
          </cell>
          <cell r="Y288">
            <v>1.129032258064516</v>
          </cell>
          <cell r="Z288">
            <v>1.2666666666666666</v>
          </cell>
          <cell r="AA288">
            <v>0.25806451612903225</v>
          </cell>
          <cell r="AH288">
            <v>0.41935483870967738</v>
          </cell>
          <cell r="AI288">
            <v>1</v>
          </cell>
          <cell r="AJ288">
            <v>3.5714285714285712E-2</v>
          </cell>
          <cell r="AK288">
            <v>0.29032258064516125</v>
          </cell>
          <cell r="AL288">
            <v>1</v>
          </cell>
          <cell r="AM288">
            <v>0.96774193548387089</v>
          </cell>
          <cell r="AN288">
            <v>0.66666666666666663</v>
          </cell>
          <cell r="AO288">
            <v>9.6774193548387094E-2</v>
          </cell>
          <cell r="AP288">
            <v>0.64516129032258063</v>
          </cell>
          <cell r="AS288">
            <v>0.6333333333333333</v>
          </cell>
          <cell r="AT288">
            <v>0.77419354838709675</v>
          </cell>
          <cell r="AV288">
            <v>0.21428571428571427</v>
          </cell>
          <cell r="AW288">
            <v>0.54838709677419351</v>
          </cell>
          <cell r="AZ288">
            <v>0.26666666666666666</v>
          </cell>
        </row>
        <row r="289">
          <cell r="C289" t="str">
            <v>Brandon/Natick/27Winter St 5</v>
          </cell>
          <cell r="D289" t="str">
            <v>Framingham Area Office</v>
          </cell>
          <cell r="G289">
            <v>0.83333333333333337</v>
          </cell>
          <cell r="H289">
            <v>1.032258064516129</v>
          </cell>
          <cell r="I289">
            <v>0.96666666666666667</v>
          </cell>
          <cell r="J289">
            <v>1.5806451612903225</v>
          </cell>
          <cell r="K289">
            <v>0.64516129032258074</v>
          </cell>
          <cell r="L289">
            <v>0.9642857142857143</v>
          </cell>
          <cell r="M289">
            <v>0.87096774193548399</v>
          </cell>
          <cell r="N289">
            <v>1.4333333333333333</v>
          </cell>
          <cell r="O289">
            <v>2</v>
          </cell>
          <cell r="P289">
            <v>2</v>
          </cell>
          <cell r="Q289">
            <v>1.2258064516129032</v>
          </cell>
          <cell r="R289">
            <v>0.70967741935483875</v>
          </cell>
          <cell r="S289">
            <v>1</v>
          </cell>
          <cell r="T289">
            <v>0.93548387096774188</v>
          </cell>
          <cell r="U289">
            <v>1.5666666666666667</v>
          </cell>
          <cell r="V289">
            <v>1.7741935483870965</v>
          </cell>
          <cell r="W289">
            <v>1.7741935483870968</v>
          </cell>
          <cell r="X289">
            <v>2</v>
          </cell>
          <cell r="Y289">
            <v>2.6129032258064515</v>
          </cell>
          <cell r="Z289">
            <v>1.5333333333333334</v>
          </cell>
          <cell r="AA289">
            <v>1.032258064516129</v>
          </cell>
          <cell r="AB289">
            <v>1</v>
          </cell>
          <cell r="AC289">
            <v>1.032258064516129</v>
          </cell>
          <cell r="AD289">
            <v>2.129032258064516</v>
          </cell>
          <cell r="AE289">
            <v>2</v>
          </cell>
          <cell r="AF289">
            <v>1.1935483870967742</v>
          </cell>
          <cell r="AG289">
            <v>1</v>
          </cell>
          <cell r="AH289">
            <v>1</v>
          </cell>
          <cell r="AI289">
            <v>1.5483870967741935</v>
          </cell>
          <cell r="AJ289">
            <v>1.8928571428571428</v>
          </cell>
          <cell r="AK289">
            <v>0.80645161290322587</v>
          </cell>
          <cell r="AL289">
            <v>1.2333333333333334</v>
          </cell>
          <cell r="AM289">
            <v>1</v>
          </cell>
          <cell r="AN289">
            <v>1</v>
          </cell>
          <cell r="AO289">
            <v>0.67741935483870974</v>
          </cell>
          <cell r="AP289">
            <v>1.935483870967742</v>
          </cell>
          <cell r="AQ289">
            <v>1.0666666666666667</v>
          </cell>
          <cell r="AR289">
            <v>1.5483870967741935</v>
          </cell>
          <cell r="AS289">
            <v>0.83333333333333326</v>
          </cell>
          <cell r="AT289">
            <v>0.58064516129032262</v>
          </cell>
          <cell r="AU289">
            <v>1</v>
          </cell>
          <cell r="AV289">
            <v>0.82142857142857129</v>
          </cell>
          <cell r="AW289">
            <v>1</v>
          </cell>
          <cell r="AX289">
            <v>1</v>
          </cell>
          <cell r="AY289">
            <v>1.709677419354839</v>
          </cell>
          <cell r="AZ289">
            <v>1.9</v>
          </cell>
        </row>
        <row r="290">
          <cell r="C290" t="str">
            <v>Brandon/Natick/27Winter St 6</v>
          </cell>
          <cell r="D290" t="str">
            <v>Harbor Area Office</v>
          </cell>
          <cell r="H290">
            <v>3.2258064516129031E-2</v>
          </cell>
          <cell r="I290">
            <v>1</v>
          </cell>
          <cell r="J290">
            <v>1.3548387096774193</v>
          </cell>
          <cell r="K290">
            <v>0.54838709677419351</v>
          </cell>
          <cell r="L290">
            <v>0.25</v>
          </cell>
          <cell r="M290">
            <v>1</v>
          </cell>
          <cell r="N290">
            <v>0.16666666666666666</v>
          </cell>
          <cell r="O290">
            <v>0.67741935483870974</v>
          </cell>
          <cell r="P290">
            <v>1.1000000000000001</v>
          </cell>
          <cell r="Q290">
            <v>0.80645161290322576</v>
          </cell>
          <cell r="R290">
            <v>0.35483870967741937</v>
          </cell>
          <cell r="S290">
            <v>1</v>
          </cell>
          <cell r="T290">
            <v>0.29032258064516125</v>
          </cell>
          <cell r="U290">
            <v>0.66666666666666663</v>
          </cell>
          <cell r="W290">
            <v>0.74193548387096775</v>
          </cell>
          <cell r="X290">
            <v>1.6206896551724137</v>
          </cell>
          <cell r="Y290">
            <v>0.87096774193548387</v>
          </cell>
          <cell r="AE290">
            <v>0.23333333333333334</v>
          </cell>
          <cell r="AF290">
            <v>1</v>
          </cell>
          <cell r="AG290">
            <v>0.2</v>
          </cell>
          <cell r="AH290">
            <v>6.4516129032258063E-2</v>
          </cell>
          <cell r="AI290">
            <v>1</v>
          </cell>
          <cell r="AJ290">
            <v>0.17857142857142855</v>
          </cell>
          <cell r="AK290">
            <v>0.41935483870967744</v>
          </cell>
          <cell r="AL290">
            <v>1</v>
          </cell>
          <cell r="AM290">
            <v>0.22580645161290322</v>
          </cell>
          <cell r="AN290">
            <v>0.53333333333333333</v>
          </cell>
          <cell r="AO290">
            <v>0.90322580645161288</v>
          </cell>
          <cell r="AP290">
            <v>0.35483870967741937</v>
          </cell>
          <cell r="AQ290">
            <v>1</v>
          </cell>
          <cell r="AR290">
            <v>1</v>
          </cell>
          <cell r="AS290">
            <v>3.3333333333333333E-2</v>
          </cell>
          <cell r="AX290">
            <v>0.66666666666666663</v>
          </cell>
        </row>
        <row r="291">
          <cell r="C291" t="str">
            <v>Brandon/Natick/27Winter St 7</v>
          </cell>
          <cell r="D291" t="str">
            <v>Hyde Park Area Office</v>
          </cell>
          <cell r="G291">
            <v>0.46666666666666667</v>
          </cell>
          <cell r="H291">
            <v>0.967741935483871</v>
          </cell>
          <cell r="K291">
            <v>0.45161290322580644</v>
          </cell>
          <cell r="L291">
            <v>1</v>
          </cell>
          <cell r="M291">
            <v>0.35483870967741937</v>
          </cell>
          <cell r="N291">
            <v>0.7</v>
          </cell>
          <cell r="O291">
            <v>0.77419354838709675</v>
          </cell>
          <cell r="Q291">
            <v>0.22580645161290322</v>
          </cell>
          <cell r="R291">
            <v>1</v>
          </cell>
          <cell r="S291">
            <v>0.23333333333333334</v>
          </cell>
          <cell r="T291">
            <v>0.967741935483871</v>
          </cell>
          <cell r="U291">
            <v>1</v>
          </cell>
          <cell r="V291">
            <v>0.5161290322580645</v>
          </cell>
          <cell r="AA291">
            <v>0.64516129032258063</v>
          </cell>
          <cell r="AB291">
            <v>0.83333333333333337</v>
          </cell>
          <cell r="AC291">
            <v>0.74193548387096775</v>
          </cell>
          <cell r="AD291">
            <v>1.3225806451612903</v>
          </cell>
          <cell r="AE291">
            <v>0.76666666666666672</v>
          </cell>
          <cell r="AG291">
            <v>1.6333333333333333</v>
          </cell>
          <cell r="AH291">
            <v>1.2258064516129032</v>
          </cell>
          <cell r="AJ291">
            <v>0.8214285714285714</v>
          </cell>
          <cell r="AK291">
            <v>0.74193548387096775</v>
          </cell>
          <cell r="AN291">
            <v>6.6666666666666666E-2</v>
          </cell>
          <cell r="AO291">
            <v>1</v>
          </cell>
          <cell r="AP291">
            <v>0.38709677419354838</v>
          </cell>
          <cell r="AT291">
            <v>0.16129032258064516</v>
          </cell>
          <cell r="AU291">
            <v>2</v>
          </cell>
          <cell r="AV291">
            <v>0.75</v>
          </cell>
          <cell r="AW291">
            <v>0.45161290322580644</v>
          </cell>
          <cell r="AX291">
            <v>1.0666666666666667</v>
          </cell>
          <cell r="AY291">
            <v>1.064516129032258</v>
          </cell>
          <cell r="AZ291">
            <v>0.6</v>
          </cell>
        </row>
        <row r="292">
          <cell r="C292" t="str">
            <v>Brandon/Natick/27Winter St 8</v>
          </cell>
          <cell r="D292" t="str">
            <v>Malden Area Office</v>
          </cell>
          <cell r="G292">
            <v>0.3</v>
          </cell>
          <cell r="H292">
            <v>0.83870967741935487</v>
          </cell>
          <cell r="M292">
            <v>0.64516129032258063</v>
          </cell>
          <cell r="N292">
            <v>0.6</v>
          </cell>
          <cell r="Q292">
            <v>0.5161290322580645</v>
          </cell>
          <cell r="R292">
            <v>0.90322580645161299</v>
          </cell>
          <cell r="S292">
            <v>1</v>
          </cell>
          <cell r="T292">
            <v>6.4516129032258063E-2</v>
          </cell>
          <cell r="W292">
            <v>0.16129032258064516</v>
          </cell>
          <cell r="X292">
            <v>0.10344827586206896</v>
          </cell>
          <cell r="AK292">
            <v>0.93548387096774188</v>
          </cell>
          <cell r="AL292">
            <v>0.6</v>
          </cell>
          <cell r="AM292">
            <v>0.19354838709677419</v>
          </cell>
          <cell r="AQ292">
            <v>0.96666666666666667</v>
          </cell>
          <cell r="AR292">
            <v>0.45161290322580644</v>
          </cell>
          <cell r="AS292">
            <v>0.83333333333333337</v>
          </cell>
          <cell r="AT292">
            <v>1</v>
          </cell>
          <cell r="AU292">
            <v>0.80645161290322576</v>
          </cell>
          <cell r="AV292">
            <v>1.0714285714285714</v>
          </cell>
          <cell r="AW292">
            <v>6.4516129032258063E-2</v>
          </cell>
        </row>
        <row r="293">
          <cell r="C293" t="str">
            <v>Brandon/Natick/27Winter St 9</v>
          </cell>
          <cell r="D293" t="str">
            <v>Park St. Area Office</v>
          </cell>
          <cell r="G293">
            <v>0.6333333333333333</v>
          </cell>
          <cell r="H293">
            <v>1</v>
          </cell>
          <cell r="I293">
            <v>0.76666666666666672</v>
          </cell>
          <cell r="J293">
            <v>0.64516129032258063</v>
          </cell>
          <cell r="K293">
            <v>0.93548387096774188</v>
          </cell>
          <cell r="O293">
            <v>0.22580645161290322</v>
          </cell>
          <cell r="P293">
            <v>0.83333333333333326</v>
          </cell>
          <cell r="Q293">
            <v>1</v>
          </cell>
          <cell r="R293">
            <v>0.64516129032258063</v>
          </cell>
          <cell r="S293">
            <v>0.43333333333333335</v>
          </cell>
          <cell r="T293">
            <v>1</v>
          </cell>
          <cell r="U293">
            <v>0.6</v>
          </cell>
          <cell r="V293">
            <v>1</v>
          </cell>
          <cell r="W293">
            <v>0.19354838709677419</v>
          </cell>
          <cell r="Z293">
            <v>0.8</v>
          </cell>
          <cell r="AA293">
            <v>1</v>
          </cell>
          <cell r="AB293">
            <v>1.1333333333333333</v>
          </cell>
          <cell r="AC293">
            <v>1.1935483870967742</v>
          </cell>
          <cell r="AD293">
            <v>0.45161290322580644</v>
          </cell>
          <cell r="AE293">
            <v>1</v>
          </cell>
          <cell r="AF293">
            <v>0.41935483870967744</v>
          </cell>
          <cell r="AH293">
            <v>6.4516129032258063E-2</v>
          </cell>
          <cell r="AJ293">
            <v>0.9285714285714286</v>
          </cell>
          <cell r="AK293">
            <v>0.58064516129032262</v>
          </cell>
          <cell r="AM293">
            <v>0.58064516129032262</v>
          </cell>
          <cell r="AN293">
            <v>0.93333333333333335</v>
          </cell>
          <cell r="AP293">
            <v>0.45161290322580644</v>
          </cell>
          <cell r="AQ293">
            <v>0.93333333333333335</v>
          </cell>
          <cell r="AR293">
            <v>1</v>
          </cell>
          <cell r="AS293">
            <v>0.96666666666666656</v>
          </cell>
          <cell r="AT293">
            <v>3.2258064516129031E-2</v>
          </cell>
          <cell r="AV293">
            <v>0.39285714285714285</v>
          </cell>
          <cell r="AW293">
            <v>1</v>
          </cell>
          <cell r="AX293">
            <v>0.16666666666666666</v>
          </cell>
          <cell r="AY293">
            <v>0.87096774193548387</v>
          </cell>
          <cell r="AZ293">
            <v>0.66666666666666663</v>
          </cell>
        </row>
        <row r="294">
          <cell r="C294" t="str">
            <v>Brandon/Natick/27Winter St 10</v>
          </cell>
          <cell r="D294" t="str">
            <v>Solutions for Living (PAS Bos)</v>
          </cell>
          <cell r="AZ294">
            <v>0.3</v>
          </cell>
        </row>
        <row r="295">
          <cell r="C295" t="str">
            <v>Caritas St Mary's /Dorch /90Cushing 1</v>
          </cell>
          <cell r="D295" t="str">
            <v>Cape Cod Area Office</v>
          </cell>
          <cell r="P295">
            <v>0.66666666666666663</v>
          </cell>
        </row>
        <row r="296">
          <cell r="C296" t="str">
            <v>Caritas St Mary's /Dorch /90Cushing 2</v>
          </cell>
          <cell r="D296" t="str">
            <v>Coastal Area Office</v>
          </cell>
          <cell r="E296">
            <v>6.4516129032258063E-2</v>
          </cell>
          <cell r="W296">
            <v>6.4516129032258063E-2</v>
          </cell>
          <cell r="X296">
            <v>0.27586206896551724</v>
          </cell>
          <cell r="AQ296">
            <v>3.3333333333333333E-2</v>
          </cell>
        </row>
        <row r="297">
          <cell r="C297" t="str">
            <v>Caritas St Mary's /Dorch /90Cushing 3</v>
          </cell>
          <cell r="D297" t="str">
            <v>Dimock St. Area Office</v>
          </cell>
          <cell r="E297">
            <v>5.741935483870968</v>
          </cell>
          <cell r="F297">
            <v>4.032258064516129</v>
          </cell>
          <cell r="G297">
            <v>4.3333333333333339</v>
          </cell>
          <cell r="H297">
            <v>2.935483870967742</v>
          </cell>
          <cell r="I297">
            <v>5.0666666666666664</v>
          </cell>
          <cell r="J297">
            <v>2.4516129032258065</v>
          </cell>
          <cell r="K297">
            <v>1.3548387096774193</v>
          </cell>
          <cell r="L297">
            <v>2</v>
          </cell>
          <cell r="M297">
            <v>0.70967741935483875</v>
          </cell>
          <cell r="N297">
            <v>0.96666666666666667</v>
          </cell>
          <cell r="O297">
            <v>1</v>
          </cell>
          <cell r="P297">
            <v>0.36666666666666664</v>
          </cell>
          <cell r="Q297">
            <v>1.064516129032258</v>
          </cell>
          <cell r="R297">
            <v>1.8387096774193548</v>
          </cell>
          <cell r="S297">
            <v>0.8666666666666667</v>
          </cell>
          <cell r="T297">
            <v>0.67741935483870974</v>
          </cell>
          <cell r="U297">
            <v>2</v>
          </cell>
          <cell r="V297">
            <v>1.3548387096774195</v>
          </cell>
          <cell r="X297">
            <v>0.86206896551724133</v>
          </cell>
          <cell r="Y297">
            <v>0.80645161290322576</v>
          </cell>
          <cell r="Z297">
            <v>0.23333333333333334</v>
          </cell>
          <cell r="AA297">
            <v>1.6451612903225805</v>
          </cell>
          <cell r="AB297">
            <v>1.6333333333333333</v>
          </cell>
          <cell r="AC297">
            <v>0.74193548387096775</v>
          </cell>
          <cell r="AD297">
            <v>1</v>
          </cell>
          <cell r="AE297">
            <v>0.8666666666666667</v>
          </cell>
          <cell r="AF297">
            <v>1.4838709677419355</v>
          </cell>
          <cell r="AG297">
            <v>1.8</v>
          </cell>
          <cell r="AH297">
            <v>2</v>
          </cell>
          <cell r="AI297">
            <v>4.3548387096774199</v>
          </cell>
          <cell r="AJ297">
            <v>1.9642857142857144</v>
          </cell>
          <cell r="AK297">
            <v>2.129032258064516</v>
          </cell>
          <cell r="AL297">
            <v>2.1666666666666665</v>
          </cell>
          <cell r="AM297">
            <v>1.6129032258064515</v>
          </cell>
          <cell r="AN297">
            <v>2.4666666666666668</v>
          </cell>
          <cell r="AO297">
            <v>2.4193548387096775</v>
          </cell>
          <cell r="AP297">
            <v>3.193548387096774</v>
          </cell>
          <cell r="AQ297">
            <v>2.7333333333333334</v>
          </cell>
          <cell r="AR297">
            <v>0.77419354838709675</v>
          </cell>
          <cell r="AS297">
            <v>0.73333333333333328</v>
          </cell>
          <cell r="AT297">
            <v>0.54838709677419351</v>
          </cell>
          <cell r="AU297">
            <v>3.0322580645161294</v>
          </cell>
          <cell r="AV297">
            <v>2.3214285714285716</v>
          </cell>
          <cell r="AW297">
            <v>0.77419354838709675</v>
          </cell>
          <cell r="AX297">
            <v>1.8</v>
          </cell>
          <cell r="AY297">
            <v>1.6129032258064513</v>
          </cell>
          <cell r="AZ297">
            <v>1.7666666666666668</v>
          </cell>
        </row>
        <row r="298">
          <cell r="C298" t="str">
            <v>Caritas St Mary's /Dorch /90Cushing 4</v>
          </cell>
          <cell r="D298" t="str">
            <v>Harbor Area Office</v>
          </cell>
          <cell r="E298">
            <v>1.193548387096774</v>
          </cell>
          <cell r="F298">
            <v>3.4193548387096775</v>
          </cell>
          <cell r="G298">
            <v>4.0999999999999996</v>
          </cell>
          <cell r="H298">
            <v>5.0645161290322589</v>
          </cell>
          <cell r="I298">
            <v>2.2000000000000002</v>
          </cell>
          <cell r="J298">
            <v>2.741935483870968</v>
          </cell>
          <cell r="K298">
            <v>3.8064516129032251</v>
          </cell>
          <cell r="L298">
            <v>5</v>
          </cell>
          <cell r="M298">
            <v>5.9354838709677402</v>
          </cell>
          <cell r="N298">
            <v>7.8</v>
          </cell>
          <cell r="O298">
            <v>3.5806451612903216</v>
          </cell>
          <cell r="P298">
            <v>5</v>
          </cell>
          <cell r="Q298">
            <v>2.903225806451613</v>
          </cell>
          <cell r="R298">
            <v>4.709677419354839</v>
          </cell>
          <cell r="S298">
            <v>6.2</v>
          </cell>
          <cell r="T298">
            <v>3.9032258064516125</v>
          </cell>
          <cell r="U298">
            <v>2.6333333333333333</v>
          </cell>
          <cell r="V298">
            <v>3.064516129032258</v>
          </cell>
          <cell r="W298">
            <v>4.290322580645161</v>
          </cell>
          <cell r="X298">
            <v>3.2068965517241379</v>
          </cell>
          <cell r="Y298">
            <v>4.806451612903226</v>
          </cell>
          <cell r="Z298">
            <v>3.5666666666666673</v>
          </cell>
          <cell r="AA298">
            <v>4.032258064516129</v>
          </cell>
          <cell r="AB298">
            <v>5.4</v>
          </cell>
          <cell r="AC298">
            <v>1.1935483870967742</v>
          </cell>
          <cell r="AD298">
            <v>0.32258064516129031</v>
          </cell>
          <cell r="AE298">
            <v>6.6666666666666666E-2</v>
          </cell>
          <cell r="AF298">
            <v>2.645161290322581</v>
          </cell>
          <cell r="AG298">
            <v>2.0666666666666664</v>
          </cell>
          <cell r="AH298">
            <v>9.6774193548387094E-2</v>
          </cell>
          <cell r="AI298">
            <v>1.935483870967742</v>
          </cell>
          <cell r="AJ298">
            <v>3.75</v>
          </cell>
          <cell r="AK298">
            <v>3.419354838709677</v>
          </cell>
          <cell r="AL298">
            <v>3.333333333333333</v>
          </cell>
          <cell r="AM298">
            <v>4.064516129032258</v>
          </cell>
          <cell r="AN298">
            <v>3.2666666666666671</v>
          </cell>
          <cell r="AO298">
            <v>4.612903225806452</v>
          </cell>
          <cell r="AP298">
            <v>2.161290322580645</v>
          </cell>
          <cell r="AQ298">
            <v>2</v>
          </cell>
          <cell r="AR298">
            <v>5.774193548387097</v>
          </cell>
          <cell r="AS298">
            <v>4.5999999999999996</v>
          </cell>
          <cell r="AT298">
            <v>1.3548387096774193</v>
          </cell>
          <cell r="AU298">
            <v>0.77419354838709675</v>
          </cell>
          <cell r="AV298">
            <v>1.3571428571428572</v>
          </cell>
          <cell r="AW298">
            <v>2.4838709677419355</v>
          </cell>
          <cell r="AX298">
            <v>1.9</v>
          </cell>
          <cell r="AY298">
            <v>3.0322580645161294</v>
          </cell>
          <cell r="AZ298">
            <v>4.2666666666666666</v>
          </cell>
        </row>
        <row r="299">
          <cell r="C299" t="str">
            <v>Caritas St Mary's /Dorch /90Cushing 5</v>
          </cell>
          <cell r="D299" t="str">
            <v>Hyde Park Area Office</v>
          </cell>
          <cell r="H299">
            <v>0.16129032258064516</v>
          </cell>
          <cell r="I299">
            <v>1</v>
          </cell>
          <cell r="J299">
            <v>0.67741935483870963</v>
          </cell>
          <cell r="K299">
            <v>0.45161290322580644</v>
          </cell>
          <cell r="L299">
            <v>0.4642857142857143</v>
          </cell>
          <cell r="M299">
            <v>9.6774193548387094E-2</v>
          </cell>
          <cell r="O299">
            <v>0.29032258064516131</v>
          </cell>
          <cell r="P299">
            <v>1</v>
          </cell>
          <cell r="Q299">
            <v>1</v>
          </cell>
          <cell r="R299">
            <v>0.45161290322580649</v>
          </cell>
          <cell r="S299">
            <v>2.7</v>
          </cell>
          <cell r="T299">
            <v>2.5806451612903225</v>
          </cell>
          <cell r="U299">
            <v>0.4</v>
          </cell>
          <cell r="V299">
            <v>0.80645161290322576</v>
          </cell>
          <cell r="W299">
            <v>2</v>
          </cell>
          <cell r="X299">
            <v>1.4827586206896552</v>
          </cell>
          <cell r="Y299">
            <v>1.5483870967741935</v>
          </cell>
          <cell r="Z299">
            <v>3.8666666666666671</v>
          </cell>
          <cell r="AA299">
            <v>1.5806451612903225</v>
          </cell>
          <cell r="AB299">
            <v>0.33333333333333331</v>
          </cell>
          <cell r="AC299">
            <v>0.61290322580645162</v>
          </cell>
          <cell r="AD299">
            <v>1.6451612903225805</v>
          </cell>
          <cell r="AE299">
            <v>1.6333333333333333</v>
          </cell>
          <cell r="AF299">
            <v>1.096774193548387</v>
          </cell>
          <cell r="AG299">
            <v>0.93333333333333335</v>
          </cell>
          <cell r="AH299">
            <v>1.3870967741935485</v>
          </cell>
          <cell r="AI299">
            <v>0.83870967741935487</v>
          </cell>
          <cell r="AJ299">
            <v>1</v>
          </cell>
          <cell r="AK299">
            <v>2.225806451612903</v>
          </cell>
          <cell r="AL299">
            <v>2.0333333333333332</v>
          </cell>
          <cell r="AM299">
            <v>1.032258064516129</v>
          </cell>
          <cell r="AO299">
            <v>0.12903225806451613</v>
          </cell>
          <cell r="AP299">
            <v>0.80645161290322576</v>
          </cell>
          <cell r="AQ299">
            <v>0.13333333333333333</v>
          </cell>
          <cell r="AR299">
            <v>1</v>
          </cell>
          <cell r="AS299">
            <v>0.66666666666666663</v>
          </cell>
          <cell r="AT299">
            <v>0.93548387096774188</v>
          </cell>
          <cell r="AU299">
            <v>1.032258064516129</v>
          </cell>
          <cell r="AV299">
            <v>1.3214285714285714</v>
          </cell>
          <cell r="AW299">
            <v>0.83870967741935476</v>
          </cell>
          <cell r="AX299">
            <v>2.2666666666666666</v>
          </cell>
          <cell r="AY299">
            <v>1.5806451612903227</v>
          </cell>
          <cell r="AZ299">
            <v>3.3333333333333333E-2</v>
          </cell>
        </row>
        <row r="300">
          <cell r="C300" t="str">
            <v>Caritas St Mary's /Dorch /90Cushing 6</v>
          </cell>
          <cell r="D300" t="str">
            <v>Lawrence Area Office</v>
          </cell>
          <cell r="I300">
            <v>0.3</v>
          </cell>
        </row>
        <row r="301">
          <cell r="C301" t="str">
            <v>Caritas St Mary's /Dorch /90Cushing 7</v>
          </cell>
          <cell r="D301" t="str">
            <v>Park St. Area Office</v>
          </cell>
          <cell r="E301">
            <v>3</v>
          </cell>
          <cell r="F301">
            <v>2.4838709677419355</v>
          </cell>
          <cell r="G301">
            <v>1.5</v>
          </cell>
          <cell r="H301">
            <v>1.7419354838709677</v>
          </cell>
          <cell r="I301">
            <v>1.3</v>
          </cell>
          <cell r="J301">
            <v>1.3225806451612903</v>
          </cell>
          <cell r="K301">
            <v>3.67741935483871</v>
          </cell>
          <cell r="L301">
            <v>1.5</v>
          </cell>
          <cell r="M301">
            <v>2.7419354838709675</v>
          </cell>
          <cell r="N301">
            <v>4.1333333333333329</v>
          </cell>
          <cell r="O301">
            <v>1.290322580645161</v>
          </cell>
          <cell r="P301">
            <v>2.1333333333333333</v>
          </cell>
          <cell r="Q301">
            <v>4.4838709677419359</v>
          </cell>
          <cell r="R301">
            <v>0.93548387096774188</v>
          </cell>
          <cell r="S301">
            <v>1.1000000000000001</v>
          </cell>
          <cell r="T301">
            <v>2.096774193548387</v>
          </cell>
          <cell r="U301">
            <v>2.7666666666666666</v>
          </cell>
          <cell r="V301">
            <v>2.8387096774193545</v>
          </cell>
          <cell r="W301">
            <v>2</v>
          </cell>
          <cell r="X301">
            <v>3.068965517241379</v>
          </cell>
          <cell r="Y301">
            <v>1.4838709677419355</v>
          </cell>
          <cell r="Z301">
            <v>0.66666666666666663</v>
          </cell>
          <cell r="AA301">
            <v>2.032258064516129</v>
          </cell>
          <cell r="AB301">
            <v>2.5</v>
          </cell>
          <cell r="AC301">
            <v>5.4838709677419359</v>
          </cell>
          <cell r="AD301">
            <v>4.5483870967741931</v>
          </cell>
          <cell r="AE301">
            <v>4.4666666666666668</v>
          </cell>
          <cell r="AF301">
            <v>4</v>
          </cell>
          <cell r="AG301">
            <v>2.8666666666666663</v>
          </cell>
          <cell r="AH301">
            <v>3.096774193548387</v>
          </cell>
          <cell r="AI301">
            <v>4.225806451612903</v>
          </cell>
          <cell r="AJ301">
            <v>0.9642857142857143</v>
          </cell>
          <cell r="AK301">
            <v>1.7096774193548387</v>
          </cell>
          <cell r="AL301">
            <v>3.8333333333333335</v>
          </cell>
          <cell r="AM301">
            <v>2.935483870967742</v>
          </cell>
          <cell r="AN301">
            <v>0.5</v>
          </cell>
          <cell r="AO301">
            <v>0.70967741935483875</v>
          </cell>
          <cell r="AP301">
            <v>1.774193548387097</v>
          </cell>
          <cell r="AQ301">
            <v>3.4666666666666668</v>
          </cell>
          <cell r="AR301">
            <v>2.806451612903226</v>
          </cell>
          <cell r="AS301">
            <v>1.7666666666666668</v>
          </cell>
          <cell r="AT301">
            <v>4.096774193548387</v>
          </cell>
          <cell r="AU301">
            <v>3.935483870967742</v>
          </cell>
          <cell r="AV301">
            <v>5.5714285714285712</v>
          </cell>
          <cell r="AW301">
            <v>5.161290322580645</v>
          </cell>
          <cell r="AX301">
            <v>0.6333333333333333</v>
          </cell>
          <cell r="AY301">
            <v>1.903225806451613</v>
          </cell>
          <cell r="AZ301">
            <v>1.3666666666666667</v>
          </cell>
        </row>
        <row r="302">
          <cell r="C302" t="str">
            <v>Caritas St Mary's /Dorch /90Cushing 8</v>
          </cell>
          <cell r="D302" t="str">
            <v>Solutions for Living (PAS Metro)</v>
          </cell>
          <cell r="Y302">
            <v>0.12903225806451613</v>
          </cell>
          <cell r="Z302">
            <v>1</v>
          </cell>
          <cell r="AA302">
            <v>0.74193548387096775</v>
          </cell>
        </row>
        <row r="303">
          <cell r="C303" t="str">
            <v>CFP / Dorchester / 31 Athelwold St 1</v>
          </cell>
          <cell r="D303" t="str">
            <v>Dimock St. Area Office</v>
          </cell>
          <cell r="AT303">
            <v>1.064516129032258</v>
          </cell>
          <cell r="AU303">
            <v>2.774193548387097</v>
          </cell>
          <cell r="AV303">
            <v>3.9285714285714284</v>
          </cell>
          <cell r="AW303">
            <v>2.903225806451613</v>
          </cell>
          <cell r="AX303">
            <v>1.1666666666666665</v>
          </cell>
          <cell r="AY303">
            <v>1.6451612903225807</v>
          </cell>
          <cell r="AZ303">
            <v>2.1</v>
          </cell>
        </row>
        <row r="304">
          <cell r="C304" t="str">
            <v>CFP / Dorchester / 31 Athelwold St 2</v>
          </cell>
          <cell r="D304" t="str">
            <v>Harbor Area Office</v>
          </cell>
          <cell r="AT304">
            <v>1.2580645161290323</v>
          </cell>
          <cell r="AU304">
            <v>2.6451612903225805</v>
          </cell>
          <cell r="AV304">
            <v>1.4642857142857144</v>
          </cell>
          <cell r="AW304">
            <v>0.80645161290322576</v>
          </cell>
          <cell r="AX304">
            <v>3.0666666666666664</v>
          </cell>
          <cell r="AY304">
            <v>3.2258064516129035</v>
          </cell>
          <cell r="AZ304">
            <v>2.166666666666667</v>
          </cell>
        </row>
        <row r="305">
          <cell r="C305" t="str">
            <v>CFP / Dorchester / 31 Athelwold St 3</v>
          </cell>
          <cell r="D305" t="str">
            <v>Hyde Park Area Office</v>
          </cell>
          <cell r="AW305">
            <v>0.54838709677419351</v>
          </cell>
          <cell r="AX305">
            <v>1.0666666666666667</v>
          </cell>
          <cell r="AY305">
            <v>1.6451612903225805</v>
          </cell>
          <cell r="AZ305">
            <v>1.9333333333333336</v>
          </cell>
        </row>
        <row r="306">
          <cell r="C306" t="str">
            <v>CFP / Dorchester / 31 Athelwold St 4</v>
          </cell>
          <cell r="D306" t="str">
            <v>Park St. Area Office</v>
          </cell>
          <cell r="AT306">
            <v>1</v>
          </cell>
          <cell r="AU306">
            <v>1.032258064516129</v>
          </cell>
          <cell r="AV306">
            <v>1.4642857142857144</v>
          </cell>
          <cell r="AW306">
            <v>2.4516129032258061</v>
          </cell>
          <cell r="AX306">
            <v>1.9</v>
          </cell>
          <cell r="AY306">
            <v>1.5483870967741935</v>
          </cell>
          <cell r="AZ306">
            <v>0.1</v>
          </cell>
        </row>
        <row r="307">
          <cell r="C307" t="str">
            <v>Communities For People 1</v>
          </cell>
          <cell r="D307" t="str">
            <v>Harbor Area Office</v>
          </cell>
          <cell r="AS307">
            <v>0.8666666666666667</v>
          </cell>
          <cell r="AT307">
            <v>1.967741935483871</v>
          </cell>
          <cell r="AU307">
            <v>0.45161290322580644</v>
          </cell>
        </row>
        <row r="308">
          <cell r="C308" t="str">
            <v>Communities For People 2</v>
          </cell>
          <cell r="D308" t="str">
            <v>Hyde Park Area Office</v>
          </cell>
          <cell r="AS308">
            <v>0.53333333333333333</v>
          </cell>
          <cell r="AT308">
            <v>2</v>
          </cell>
          <cell r="AU308">
            <v>0.16129032258064516</v>
          </cell>
        </row>
        <row r="309">
          <cell r="C309" t="str">
            <v>Communities For People 3</v>
          </cell>
          <cell r="D309" t="str">
            <v>Park St. Area Office</v>
          </cell>
          <cell r="AS309">
            <v>0.1</v>
          </cell>
          <cell r="AU309">
            <v>0.41935483870967744</v>
          </cell>
        </row>
        <row r="310">
          <cell r="C310" t="str">
            <v>Community Care/S.Attleboro/543Newpo 1</v>
          </cell>
          <cell r="D310" t="str">
            <v>Arlington Area Office</v>
          </cell>
          <cell r="Y310">
            <v>6.4516129032258063E-2</v>
          </cell>
        </row>
        <row r="311">
          <cell r="C311" t="str">
            <v>Community Care/S.Attleboro/543Newpo 2</v>
          </cell>
          <cell r="D311" t="str">
            <v>Brockton Area Office</v>
          </cell>
          <cell r="I311">
            <v>0.23333333333333334</v>
          </cell>
          <cell r="J311">
            <v>1</v>
          </cell>
          <cell r="K311">
            <v>0.96774193548387089</v>
          </cell>
          <cell r="O311">
            <v>0.16129032258064516</v>
          </cell>
          <cell r="S311">
            <v>0.1</v>
          </cell>
          <cell r="T311">
            <v>0.58064516129032262</v>
          </cell>
          <cell r="V311">
            <v>0.25806451612903225</v>
          </cell>
          <cell r="W311">
            <v>1.161290322580645</v>
          </cell>
          <cell r="X311">
            <v>1.3448275862068966</v>
          </cell>
          <cell r="Y311">
            <v>0.61290322580645162</v>
          </cell>
          <cell r="Z311">
            <v>0.56666666666666665</v>
          </cell>
          <cell r="AC311">
            <v>0.5161290322580645</v>
          </cell>
          <cell r="AD311">
            <v>0.67741935483870963</v>
          </cell>
          <cell r="AE311">
            <v>0.26666666666666666</v>
          </cell>
          <cell r="AF311">
            <v>0.5161290322580645</v>
          </cell>
          <cell r="AG311">
            <v>0.33333333333333337</v>
          </cell>
          <cell r="AH311">
            <v>0.45161290322580644</v>
          </cell>
          <cell r="AI311">
            <v>0.4838709677419355</v>
          </cell>
          <cell r="AJ311">
            <v>0.8928571428571429</v>
          </cell>
          <cell r="AM311">
            <v>3.2258064516129031E-2</v>
          </cell>
          <cell r="AO311">
            <v>0.67741935483870963</v>
          </cell>
          <cell r="AP311">
            <v>1.096774193548387</v>
          </cell>
          <cell r="AQ311">
            <v>1.3666666666666667</v>
          </cell>
          <cell r="AR311">
            <v>2.032258064516129</v>
          </cell>
          <cell r="AS311">
            <v>1.2333333333333334</v>
          </cell>
          <cell r="AT311">
            <v>0.35483870967741937</v>
          </cell>
          <cell r="AU311">
            <v>1</v>
          </cell>
          <cell r="AV311">
            <v>0.75</v>
          </cell>
        </row>
        <row r="312">
          <cell r="C312" t="str">
            <v>Community Care/S.Attleboro/543Newpo 3</v>
          </cell>
          <cell r="D312" t="str">
            <v>Cape Cod Area Office</v>
          </cell>
          <cell r="AD312">
            <v>0.16129032258064516</v>
          </cell>
          <cell r="AE312">
            <v>6.6666666666666666E-2</v>
          </cell>
          <cell r="AG312">
            <v>3.3333333333333333E-2</v>
          </cell>
          <cell r="AL312">
            <v>0.5</v>
          </cell>
          <cell r="AY312">
            <v>3.2258064516129031E-2</v>
          </cell>
        </row>
        <row r="313">
          <cell r="C313" t="str">
            <v>Community Care/S.Attleboro/543Newpo 4</v>
          </cell>
          <cell r="D313" t="str">
            <v>Coastal Area Office</v>
          </cell>
          <cell r="AM313">
            <v>9.6774193548387094E-2</v>
          </cell>
        </row>
        <row r="314">
          <cell r="C314" t="str">
            <v>Community Care/S.Attleboro/543Newpo 5</v>
          </cell>
          <cell r="D314" t="str">
            <v>Dimock St. Area Office</v>
          </cell>
          <cell r="AD314">
            <v>3.2258064516129031E-2</v>
          </cell>
          <cell r="AJ314">
            <v>3.5714285714285712E-2</v>
          </cell>
        </row>
        <row r="315">
          <cell r="C315" t="str">
            <v>Community Care/S.Attleboro/543Newpo 6</v>
          </cell>
          <cell r="D315" t="str">
            <v>Fall River Area Office</v>
          </cell>
          <cell r="H315">
            <v>0.22580645161290322</v>
          </cell>
          <cell r="I315">
            <v>1</v>
          </cell>
          <cell r="J315">
            <v>0.38709677419354838</v>
          </cell>
          <cell r="T315">
            <v>9.6774193548387094E-2</v>
          </cell>
          <cell r="U315">
            <v>3.3333333333333333E-2</v>
          </cell>
          <cell r="V315">
            <v>6.4516129032258063E-2</v>
          </cell>
          <cell r="W315">
            <v>1</v>
          </cell>
          <cell r="X315">
            <v>0.5862068965517242</v>
          </cell>
          <cell r="Y315">
            <v>0.22580645161290322</v>
          </cell>
          <cell r="AA315">
            <v>0.41935483870967744</v>
          </cell>
          <cell r="AB315">
            <v>0.33333333333333331</v>
          </cell>
          <cell r="AC315">
            <v>0.41935483870967744</v>
          </cell>
          <cell r="AD315">
            <v>1</v>
          </cell>
          <cell r="AE315">
            <v>0.6</v>
          </cell>
          <cell r="AO315">
            <v>6.4516129032258063E-2</v>
          </cell>
          <cell r="AS315">
            <v>3.3333333333333333E-2</v>
          </cell>
          <cell r="AW315">
            <v>0.41935483870967744</v>
          </cell>
          <cell r="AX315">
            <v>0.46666666666666667</v>
          </cell>
          <cell r="AZ315">
            <v>3.3333333333333333E-2</v>
          </cell>
        </row>
        <row r="316">
          <cell r="C316" t="str">
            <v>Community Care/S.Attleboro/543Newpo 7</v>
          </cell>
          <cell r="D316" t="str">
            <v>Framingham Area Office</v>
          </cell>
          <cell r="AI316">
            <v>0.12903225806451613</v>
          </cell>
        </row>
        <row r="317">
          <cell r="C317" t="str">
            <v>Community Care/S.Attleboro/543Newpo 8</v>
          </cell>
          <cell r="D317" t="str">
            <v>New Bedford Area Office</v>
          </cell>
          <cell r="P317">
            <v>0.1</v>
          </cell>
          <cell r="Q317">
            <v>0.61290322580645162</v>
          </cell>
          <cell r="R317">
            <v>0.25806451612903225</v>
          </cell>
          <cell r="W317">
            <v>0.12903225806451613</v>
          </cell>
          <cell r="X317">
            <v>0.10344827586206896</v>
          </cell>
          <cell r="Z317">
            <v>0.1</v>
          </cell>
          <cell r="AA317">
            <v>0.19354838709677419</v>
          </cell>
          <cell r="AB317">
            <v>0.1</v>
          </cell>
          <cell r="AC317">
            <v>0.22580645161290322</v>
          </cell>
          <cell r="AD317">
            <v>0.32258064516129031</v>
          </cell>
          <cell r="AE317">
            <v>0.13333333333333333</v>
          </cell>
          <cell r="AO317">
            <v>0.12903225806451613</v>
          </cell>
          <cell r="AP317">
            <v>0.38709677419354838</v>
          </cell>
          <cell r="AQ317">
            <v>0.1</v>
          </cell>
          <cell r="AV317">
            <v>0.3571428571428571</v>
          </cell>
          <cell r="AW317">
            <v>1.5483870967741935</v>
          </cell>
          <cell r="AX317">
            <v>0.73333333333333339</v>
          </cell>
          <cell r="AY317">
            <v>1</v>
          </cell>
          <cell r="AZ317">
            <v>1.6</v>
          </cell>
        </row>
        <row r="318">
          <cell r="C318" t="str">
            <v>Community Care/S.Attleboro/543Newpo 9</v>
          </cell>
          <cell r="D318" t="str">
            <v>New Bedford Child and Family (Adop)</v>
          </cell>
          <cell r="AC318">
            <v>0.90322580645161288</v>
          </cell>
          <cell r="AI318">
            <v>0.38709677419354838</v>
          </cell>
          <cell r="AJ318">
            <v>1</v>
          </cell>
          <cell r="AK318">
            <v>0.80645161290322576</v>
          </cell>
          <cell r="AL318">
            <v>0.3</v>
          </cell>
        </row>
        <row r="319">
          <cell r="C319" t="str">
            <v>Community Care/S.Attleboro/543Newpo 10</v>
          </cell>
          <cell r="D319" t="str">
            <v>Plymouth Area Office</v>
          </cell>
          <cell r="H319">
            <v>0.12903225806451613</v>
          </cell>
          <cell r="I319">
            <v>1</v>
          </cell>
          <cell r="J319">
            <v>0.64516129032258063</v>
          </cell>
          <cell r="K319">
            <v>1</v>
          </cell>
          <cell r="L319">
            <v>1</v>
          </cell>
          <cell r="M319">
            <v>0.90322580645161288</v>
          </cell>
          <cell r="N319">
            <v>1</v>
          </cell>
          <cell r="O319">
            <v>1.4838709677419355</v>
          </cell>
          <cell r="P319">
            <v>0.33333333333333331</v>
          </cell>
          <cell r="AA319">
            <v>3.2258064516129031E-2</v>
          </cell>
          <cell r="AB319">
            <v>6.6666666666666666E-2</v>
          </cell>
          <cell r="AD319">
            <v>0.22580645161290322</v>
          </cell>
          <cell r="AE319">
            <v>1</v>
          </cell>
          <cell r="AF319">
            <v>0.29032258064516125</v>
          </cell>
          <cell r="AG319">
            <v>0.2</v>
          </cell>
          <cell r="AK319">
            <v>3.2258064516129031E-2</v>
          </cell>
          <cell r="AN319">
            <v>0.4</v>
          </cell>
          <cell r="AQ319">
            <v>0.26666666666666666</v>
          </cell>
          <cell r="AU319">
            <v>0.12903225806451613</v>
          </cell>
          <cell r="AV319">
            <v>0.21428571428571427</v>
          </cell>
        </row>
        <row r="320">
          <cell r="C320" t="str">
            <v>Community Care/S.Attleboro/543Newpo 11</v>
          </cell>
          <cell r="D320" t="str">
            <v>Solutions for Living (PAS SE)</v>
          </cell>
          <cell r="AI320">
            <v>0.64516129032258063</v>
          </cell>
          <cell r="AJ320">
            <v>0.8571428571428571</v>
          </cell>
          <cell r="AL320">
            <v>0.26666666666666666</v>
          </cell>
          <cell r="AM320">
            <v>1</v>
          </cell>
          <cell r="AN320">
            <v>0.33333333333333331</v>
          </cell>
        </row>
        <row r="321">
          <cell r="C321" t="str">
            <v>Community Care/S.Attleboro/543Newpo 12</v>
          </cell>
          <cell r="D321" t="str">
            <v>Taunton/Attleboro Area Office</v>
          </cell>
          <cell r="H321">
            <v>3.709677419354839</v>
          </cell>
          <cell r="I321">
            <v>8.3333333333333339</v>
          </cell>
          <cell r="J321">
            <v>8.3225806451612918</v>
          </cell>
          <cell r="K321">
            <v>9.129032258064516</v>
          </cell>
          <cell r="L321">
            <v>9.8571428571428577</v>
          </cell>
          <cell r="M321">
            <v>10.29032258064516</v>
          </cell>
          <cell r="N321">
            <v>9</v>
          </cell>
          <cell r="O321">
            <v>9.387096774193548</v>
          </cell>
          <cell r="P321">
            <v>10.866666666666665</v>
          </cell>
          <cell r="Q321">
            <v>9.8387096774193541</v>
          </cell>
          <cell r="R321">
            <v>11.387096774193548</v>
          </cell>
          <cell r="S321">
            <v>10.5</v>
          </cell>
          <cell r="T321">
            <v>10.29032258064516</v>
          </cell>
          <cell r="U321">
            <v>10.766666666666667</v>
          </cell>
          <cell r="V321">
            <v>9.806451612903226</v>
          </cell>
          <cell r="W321">
            <v>6.806451612903226</v>
          </cell>
          <cell r="X321">
            <v>9.4137931034482758</v>
          </cell>
          <cell r="Y321">
            <v>10.129032258064516</v>
          </cell>
          <cell r="Z321">
            <v>11</v>
          </cell>
          <cell r="AA321">
            <v>9.9354838709677402</v>
          </cell>
          <cell r="AB321">
            <v>11.266666666666667</v>
          </cell>
          <cell r="AC321">
            <v>8.8387096774193541</v>
          </cell>
          <cell r="AD321">
            <v>7.8709677419354831</v>
          </cell>
          <cell r="AE321">
            <v>7.4333333333333327</v>
          </cell>
          <cell r="AF321">
            <v>9.4838709677419359</v>
          </cell>
          <cell r="AG321">
            <v>8.966666666666665</v>
          </cell>
          <cell r="AH321">
            <v>7.967741935483871</v>
          </cell>
          <cell r="AI321">
            <v>10.129032258064516</v>
          </cell>
          <cell r="AJ321">
            <v>7.2857142857142856</v>
          </cell>
          <cell r="AK321">
            <v>9.3548387096774199</v>
          </cell>
          <cell r="AL321">
            <v>9.1</v>
          </cell>
          <cell r="AM321">
            <v>8.0322580645161281</v>
          </cell>
          <cell r="AN321">
            <v>9.0666666666666664</v>
          </cell>
          <cell r="AO321">
            <v>8.4516129032258043</v>
          </cell>
          <cell r="AP321">
            <v>8.7096774193548399</v>
          </cell>
          <cell r="AQ321">
            <v>6.7</v>
          </cell>
          <cell r="AR321">
            <v>8.9677419354838719</v>
          </cell>
          <cell r="AS321">
            <v>8.1</v>
          </cell>
          <cell r="AT321">
            <v>8.129032258064516</v>
          </cell>
          <cell r="AU321">
            <v>8.67741935483871</v>
          </cell>
          <cell r="AV321">
            <v>7.1785714285714288</v>
          </cell>
          <cell r="AW321">
            <v>7.3225806451612909</v>
          </cell>
          <cell r="AX321">
            <v>9.5</v>
          </cell>
          <cell r="AY321">
            <v>9.67741935483871</v>
          </cell>
          <cell r="AZ321">
            <v>7.666666666666667</v>
          </cell>
        </row>
        <row r="322">
          <cell r="C322" t="str">
            <v>EliotCommunityHS / Waltham/ 130Dale 1</v>
          </cell>
          <cell r="D322" t="str">
            <v>Arlington Area Office</v>
          </cell>
          <cell r="I322">
            <v>0.33333333333333337</v>
          </cell>
          <cell r="J322">
            <v>2.709677419354839</v>
          </cell>
          <cell r="K322">
            <v>1.4838709677419355</v>
          </cell>
          <cell r="L322">
            <v>0.9642857142857143</v>
          </cell>
          <cell r="M322">
            <v>1.5806451612903225</v>
          </cell>
          <cell r="N322">
            <v>1.1000000000000001</v>
          </cell>
          <cell r="O322">
            <v>1.096774193548387</v>
          </cell>
          <cell r="P322">
            <v>1.8666666666666667</v>
          </cell>
          <cell r="Q322">
            <v>0.83870967741935487</v>
          </cell>
          <cell r="R322">
            <v>1.6129032258064515</v>
          </cell>
          <cell r="S322">
            <v>2.7333333333333334</v>
          </cell>
          <cell r="T322">
            <v>1.8709677419354838</v>
          </cell>
          <cell r="U322">
            <v>1</v>
          </cell>
          <cell r="V322">
            <v>0.19354838709677419</v>
          </cell>
          <cell r="W322">
            <v>0.16129032258064516</v>
          </cell>
          <cell r="X322">
            <v>1.103448275862069</v>
          </cell>
          <cell r="Y322">
            <v>3</v>
          </cell>
          <cell r="Z322">
            <v>2.4666666666666668</v>
          </cell>
          <cell r="AA322">
            <v>2.193548387096774</v>
          </cell>
          <cell r="AB322">
            <v>3.6</v>
          </cell>
          <cell r="AC322">
            <v>2.3548387096774195</v>
          </cell>
          <cell r="AD322">
            <v>0.16129032258064516</v>
          </cell>
          <cell r="AE322">
            <v>1</v>
          </cell>
          <cell r="AF322">
            <v>1.3548387096774195</v>
          </cell>
          <cell r="AG322">
            <v>0.4</v>
          </cell>
          <cell r="AJ322">
            <v>7.1428571428571425E-2</v>
          </cell>
          <cell r="AM322">
            <v>0.32258064516129031</v>
          </cell>
          <cell r="AN322">
            <v>1.1333333333333333</v>
          </cell>
          <cell r="AO322">
            <v>3</v>
          </cell>
          <cell r="AP322">
            <v>2.741935483870968</v>
          </cell>
          <cell r="AQ322">
            <v>1.2666666666666666</v>
          </cell>
          <cell r="AR322">
            <v>2.129032258064516</v>
          </cell>
          <cell r="AS322">
            <v>2</v>
          </cell>
          <cell r="AT322">
            <v>2</v>
          </cell>
          <cell r="AU322">
            <v>1.7419354838709677</v>
          </cell>
          <cell r="AV322">
            <v>0.5714285714285714</v>
          </cell>
          <cell r="AX322">
            <v>0.76666666666666672</v>
          </cell>
          <cell r="AY322">
            <v>1</v>
          </cell>
          <cell r="AZ322">
            <v>0.3</v>
          </cell>
        </row>
        <row r="323">
          <cell r="C323" t="str">
            <v>EliotCommunityHS / Waltham/ 130Dale 2</v>
          </cell>
          <cell r="D323" t="str">
            <v>Brockton Area Office</v>
          </cell>
          <cell r="N323">
            <v>1.8</v>
          </cell>
          <cell r="O323">
            <v>2</v>
          </cell>
          <cell r="X323">
            <v>0.48275862068965519</v>
          </cell>
        </row>
        <row r="324">
          <cell r="C324" t="str">
            <v>EliotCommunityHS / Waltham/ 130Dale 3</v>
          </cell>
          <cell r="D324" t="str">
            <v>Cambridge Area Office</v>
          </cell>
          <cell r="G324">
            <v>1.5</v>
          </cell>
          <cell r="H324">
            <v>2.2580645161290325</v>
          </cell>
          <cell r="I324">
            <v>1.4</v>
          </cell>
          <cell r="J324">
            <v>0.38709677419354838</v>
          </cell>
          <cell r="K324">
            <v>0.4838709677419355</v>
          </cell>
          <cell r="L324">
            <v>1.9642857142857144</v>
          </cell>
          <cell r="M324">
            <v>2.967741935483871</v>
          </cell>
          <cell r="N324">
            <v>0.66666666666666663</v>
          </cell>
          <cell r="W324">
            <v>1.935483870967742</v>
          </cell>
          <cell r="X324">
            <v>0.96551724137931039</v>
          </cell>
          <cell r="AG324">
            <v>0.93333333333333335</v>
          </cell>
          <cell r="AH324">
            <v>0.61290322580645162</v>
          </cell>
          <cell r="AJ324">
            <v>0.8214285714285714</v>
          </cell>
          <cell r="AK324">
            <v>2.67741935483871</v>
          </cell>
          <cell r="AL324">
            <v>1.9666666666666666</v>
          </cell>
          <cell r="AM324">
            <v>1.4838709677419355</v>
          </cell>
          <cell r="AN324">
            <v>1.7666666666666666</v>
          </cell>
          <cell r="AO324">
            <v>0.4838709677419355</v>
          </cell>
          <cell r="AS324">
            <v>0.7</v>
          </cell>
          <cell r="AT324">
            <v>0.54838709677419351</v>
          </cell>
          <cell r="AX324">
            <v>0.43333333333333335</v>
          </cell>
        </row>
        <row r="325">
          <cell r="C325" t="str">
            <v>EliotCommunityHS / Waltham/ 130Dale 4</v>
          </cell>
          <cell r="D325" t="str">
            <v>Coastal Area Office</v>
          </cell>
          <cell r="H325">
            <v>3.2258064516129031E-2</v>
          </cell>
          <cell r="I325">
            <v>0.36666666666666664</v>
          </cell>
          <cell r="J325">
            <v>1</v>
          </cell>
          <cell r="K325">
            <v>1</v>
          </cell>
          <cell r="L325">
            <v>0.9285714285714286</v>
          </cell>
          <cell r="M325">
            <v>0.16129032258064516</v>
          </cell>
          <cell r="N325">
            <v>0.83333333333333337</v>
          </cell>
          <cell r="O325">
            <v>1</v>
          </cell>
          <cell r="P325">
            <v>2.8</v>
          </cell>
          <cell r="Q325">
            <v>1.870967741935484</v>
          </cell>
          <cell r="R325">
            <v>0.77419354838709675</v>
          </cell>
          <cell r="V325">
            <v>3.2258064516129031E-2</v>
          </cell>
          <cell r="W325">
            <v>1.5161290322580645</v>
          </cell>
          <cell r="X325">
            <v>1.4137931034482758</v>
          </cell>
          <cell r="Y325">
            <v>1</v>
          </cell>
          <cell r="Z325">
            <v>1.0666666666666667</v>
          </cell>
          <cell r="AA325">
            <v>1.6451612903225805</v>
          </cell>
          <cell r="AB325">
            <v>0.66666666666666663</v>
          </cell>
          <cell r="AC325">
            <v>3.2258064516129031E-2</v>
          </cell>
          <cell r="AD325">
            <v>1</v>
          </cell>
          <cell r="AE325">
            <v>1</v>
          </cell>
          <cell r="AG325">
            <v>1.6333333333333333</v>
          </cell>
          <cell r="AH325">
            <v>0.80645161290322576</v>
          </cell>
          <cell r="AI325">
            <v>0.90322580645161299</v>
          </cell>
          <cell r="AJ325">
            <v>1</v>
          </cell>
          <cell r="AK325">
            <v>0.90322580645161288</v>
          </cell>
          <cell r="AL325">
            <v>0.76666666666666672</v>
          </cell>
          <cell r="AM325">
            <v>0.87096774193548387</v>
          </cell>
          <cell r="AN325">
            <v>1</v>
          </cell>
          <cell r="AO325">
            <v>1.161290322580645</v>
          </cell>
          <cell r="AP325">
            <v>0.83870967741935487</v>
          </cell>
          <cell r="AQ325">
            <v>1.1000000000000001</v>
          </cell>
          <cell r="AR325">
            <v>2.193548387096774</v>
          </cell>
          <cell r="AS325">
            <v>2.0333333333333332</v>
          </cell>
          <cell r="AT325">
            <v>0.74193548387096775</v>
          </cell>
          <cell r="AV325">
            <v>0.75</v>
          </cell>
          <cell r="AW325">
            <v>1</v>
          </cell>
          <cell r="AX325">
            <v>0.3666666666666667</v>
          </cell>
          <cell r="AY325">
            <v>1</v>
          </cell>
          <cell r="AZ325">
            <v>1.4333333333333333</v>
          </cell>
        </row>
        <row r="326">
          <cell r="C326" t="str">
            <v>EliotCommunityHS / Waltham/ 130Dale 5</v>
          </cell>
          <cell r="D326" t="str">
            <v>Framingham Area Office</v>
          </cell>
          <cell r="L326">
            <v>0.4642857142857143</v>
          </cell>
          <cell r="Q326">
            <v>1</v>
          </cell>
          <cell r="R326">
            <v>1</v>
          </cell>
          <cell r="S326">
            <v>0.1</v>
          </cell>
          <cell r="T326">
            <v>0.29032258064516131</v>
          </cell>
          <cell r="U326">
            <v>0.6</v>
          </cell>
          <cell r="V326">
            <v>0.80645161290322576</v>
          </cell>
          <cell r="W326">
            <v>1</v>
          </cell>
          <cell r="X326">
            <v>0.2413793103448276</v>
          </cell>
          <cell r="Z326">
            <v>0.5</v>
          </cell>
          <cell r="AA326">
            <v>0.967741935483871</v>
          </cell>
          <cell r="AB326">
            <v>0.23333333333333334</v>
          </cell>
          <cell r="AC326">
            <v>1.4838709677419355</v>
          </cell>
          <cell r="AD326">
            <v>0.67741935483870963</v>
          </cell>
          <cell r="AE326">
            <v>0.43333333333333335</v>
          </cell>
          <cell r="AF326">
            <v>2</v>
          </cell>
          <cell r="AG326">
            <v>1.9666666666666666</v>
          </cell>
          <cell r="AH326">
            <v>1.5806451612903225</v>
          </cell>
          <cell r="AI326">
            <v>0.77419354838709675</v>
          </cell>
          <cell r="AL326">
            <v>0.46666666666666667</v>
          </cell>
          <cell r="AM326">
            <v>0.25806451612903225</v>
          </cell>
          <cell r="AO326">
            <v>3.2258064516129031E-2</v>
          </cell>
          <cell r="AP326">
            <v>0.967741935483871</v>
          </cell>
          <cell r="AS326">
            <v>6.6666666666666666E-2</v>
          </cell>
          <cell r="AV326">
            <v>0.6071428571428571</v>
          </cell>
          <cell r="AW326">
            <v>1</v>
          </cell>
          <cell r="AX326">
            <v>0.1</v>
          </cell>
          <cell r="AY326">
            <v>1</v>
          </cell>
          <cell r="AZ326">
            <v>0.56666666666666665</v>
          </cell>
        </row>
        <row r="327">
          <cell r="C327" t="str">
            <v>EliotCommunityHS / Waltham/ 130Dale 6</v>
          </cell>
          <cell r="D327" t="str">
            <v>Lawrence Area Office</v>
          </cell>
          <cell r="AZ327">
            <v>3.3333333333333333E-2</v>
          </cell>
        </row>
        <row r="328">
          <cell r="C328" t="str">
            <v>EliotCommunityHS / Waltham/ 130Dale 7</v>
          </cell>
          <cell r="D328" t="str">
            <v>Malden Area Office</v>
          </cell>
          <cell r="G328">
            <v>3</v>
          </cell>
          <cell r="H328">
            <v>1.161290322580645</v>
          </cell>
          <cell r="J328">
            <v>0.61290322580645162</v>
          </cell>
          <cell r="K328">
            <v>1</v>
          </cell>
          <cell r="L328">
            <v>0.4642857142857143</v>
          </cell>
          <cell r="M328">
            <v>1</v>
          </cell>
          <cell r="N328">
            <v>1</v>
          </cell>
          <cell r="O328">
            <v>0.74193548387096775</v>
          </cell>
          <cell r="R328">
            <v>0.83870967741935487</v>
          </cell>
          <cell r="S328">
            <v>1</v>
          </cell>
          <cell r="T328">
            <v>0.41935483870967744</v>
          </cell>
          <cell r="U328">
            <v>1.5333333333333332</v>
          </cell>
          <cell r="V328">
            <v>1.064516129032258</v>
          </cell>
          <cell r="X328">
            <v>0.17241379310344829</v>
          </cell>
          <cell r="Y328">
            <v>0.93548387096774188</v>
          </cell>
          <cell r="Z328">
            <v>0.46666666666666667</v>
          </cell>
          <cell r="AB328">
            <v>0.36666666666666664</v>
          </cell>
          <cell r="AC328">
            <v>1</v>
          </cell>
          <cell r="AD328">
            <v>0.83870967741935476</v>
          </cell>
          <cell r="AE328">
            <v>2</v>
          </cell>
          <cell r="AF328">
            <v>1.161290322580645</v>
          </cell>
          <cell r="AH328">
            <v>9.6774193548387094E-2</v>
          </cell>
          <cell r="AI328">
            <v>2.161290322580645</v>
          </cell>
          <cell r="AJ328">
            <v>2.3214285714285712</v>
          </cell>
          <cell r="AK328">
            <v>0.67741935483870963</v>
          </cell>
          <cell r="AL328">
            <v>0.76666666666666672</v>
          </cell>
          <cell r="AQ328">
            <v>0.93333333333333335</v>
          </cell>
          <cell r="AS328">
            <v>3.3333333333333333E-2</v>
          </cell>
          <cell r="AT328">
            <v>1</v>
          </cell>
          <cell r="AU328">
            <v>1.6451612903225805</v>
          </cell>
          <cell r="AV328">
            <v>1.6071428571428572</v>
          </cell>
          <cell r="AW328">
            <v>3</v>
          </cell>
          <cell r="AX328">
            <v>2.7</v>
          </cell>
          <cell r="AY328">
            <v>2</v>
          </cell>
          <cell r="AZ328">
            <v>1.8666666666666667</v>
          </cell>
        </row>
        <row r="329">
          <cell r="C329" t="str">
            <v>EliotCommunityHS / Waltham/ 130Dale 8</v>
          </cell>
          <cell r="D329" t="str">
            <v>South Central Area Office</v>
          </cell>
          <cell r="T329">
            <v>0.54838709677419351</v>
          </cell>
          <cell r="U329">
            <v>1</v>
          </cell>
          <cell r="V329">
            <v>1</v>
          </cell>
          <cell r="W329">
            <v>9.6774193548387094E-2</v>
          </cell>
          <cell r="AD329">
            <v>0.54838709677419351</v>
          </cell>
          <cell r="AE329">
            <v>0.1</v>
          </cell>
          <cell r="AM329">
            <v>0.67741935483870963</v>
          </cell>
          <cell r="AN329">
            <v>0.93333333333333335</v>
          </cell>
        </row>
        <row r="330">
          <cell r="C330" t="str">
            <v>EliotCommunityHS/Arling/734-736Mass 1</v>
          </cell>
          <cell r="D330" t="str">
            <v>Arlington Area Office</v>
          </cell>
          <cell r="H330">
            <v>0.16129032258064516</v>
          </cell>
          <cell r="I330">
            <v>0.93333333333333335</v>
          </cell>
          <cell r="J330">
            <v>1.4193548387096775</v>
          </cell>
          <cell r="K330">
            <v>1.4838709677419355</v>
          </cell>
          <cell r="L330">
            <v>1.892857142857143</v>
          </cell>
          <cell r="M330">
            <v>0.87096774193548387</v>
          </cell>
          <cell r="N330">
            <v>1.6666666666666665</v>
          </cell>
          <cell r="O330">
            <v>1.935483870967742</v>
          </cell>
          <cell r="P330">
            <v>1.6666666666666665</v>
          </cell>
          <cell r="Q330">
            <v>1.7741935483870968</v>
          </cell>
          <cell r="R330">
            <v>1.5806451612903225</v>
          </cell>
          <cell r="S330">
            <v>2.5333333333333332</v>
          </cell>
          <cell r="T330">
            <v>1.161290322580645</v>
          </cell>
          <cell r="U330">
            <v>2.2333333333333334</v>
          </cell>
          <cell r="V330">
            <v>1.5806451612903225</v>
          </cell>
          <cell r="W330">
            <v>1.5161290322580645</v>
          </cell>
          <cell r="X330">
            <v>0.86206896551724133</v>
          </cell>
          <cell r="Y330">
            <v>2.3870967741935485</v>
          </cell>
          <cell r="Z330">
            <v>3</v>
          </cell>
          <cell r="AA330">
            <v>2.806451612903226</v>
          </cell>
          <cell r="AB330">
            <v>3.0666666666666669</v>
          </cell>
          <cell r="AC330">
            <v>2</v>
          </cell>
          <cell r="AD330">
            <v>1.9677419354838708</v>
          </cell>
          <cell r="AE330">
            <v>2.4</v>
          </cell>
          <cell r="AF330">
            <v>2.3548387096774195</v>
          </cell>
          <cell r="AG330">
            <v>0.73333333333333339</v>
          </cell>
          <cell r="AH330">
            <v>1.1935483870967742</v>
          </cell>
          <cell r="AI330">
            <v>0.87096774193548387</v>
          </cell>
          <cell r="AJ330">
            <v>0.5714285714285714</v>
          </cell>
          <cell r="AK330">
            <v>0.16129032258064516</v>
          </cell>
          <cell r="AL330">
            <v>1.8</v>
          </cell>
          <cell r="AM330">
            <v>1.9354838709677418</v>
          </cell>
          <cell r="AN330">
            <v>1.3666666666666667</v>
          </cell>
          <cell r="AO330">
            <v>1.1612903225806452</v>
          </cell>
          <cell r="AP330">
            <v>2.3870967741935485</v>
          </cell>
          <cell r="AQ330">
            <v>0.56666666666666665</v>
          </cell>
          <cell r="AR330">
            <v>1.096774193548387</v>
          </cell>
          <cell r="AS330">
            <v>2.9333333333333336</v>
          </cell>
          <cell r="AT330">
            <v>2.4838709677419355</v>
          </cell>
          <cell r="AU330">
            <v>1.3870967741935485</v>
          </cell>
          <cell r="AV330">
            <v>0.9285714285714286</v>
          </cell>
          <cell r="AW330">
            <v>1.4516129032258065</v>
          </cell>
          <cell r="AX330">
            <v>1.1333333333333333</v>
          </cell>
          <cell r="AY330">
            <v>1.4838709677419355</v>
          </cell>
          <cell r="AZ330">
            <v>1.7666666666666666</v>
          </cell>
        </row>
        <row r="331">
          <cell r="C331" t="str">
            <v>EliotCommunityHS/Arling/734-736Mass 2</v>
          </cell>
          <cell r="D331" t="str">
            <v>Cambridge Area Office</v>
          </cell>
          <cell r="H331">
            <v>1.935483870967742</v>
          </cell>
          <cell r="I331">
            <v>0.96666666666666667</v>
          </cell>
          <cell r="M331">
            <v>0.25806451612903225</v>
          </cell>
          <cell r="N331">
            <v>1.7</v>
          </cell>
          <cell r="O331">
            <v>1</v>
          </cell>
          <cell r="P331">
            <v>1.3333333333333333</v>
          </cell>
          <cell r="Q331">
            <v>1.4516129032258065</v>
          </cell>
          <cell r="R331">
            <v>1.2580645161290323</v>
          </cell>
          <cell r="X331">
            <v>0.65517241379310343</v>
          </cell>
          <cell r="Y331">
            <v>1</v>
          </cell>
          <cell r="Z331">
            <v>0.96666666666666656</v>
          </cell>
          <cell r="AA331">
            <v>0.93548387096774188</v>
          </cell>
          <cell r="AC331">
            <v>6.4516129032258063E-2</v>
          </cell>
          <cell r="AD331">
            <v>6.4516129032258063E-2</v>
          </cell>
          <cell r="AI331">
            <v>0.83870967741935487</v>
          </cell>
          <cell r="AJ331">
            <v>1</v>
          </cell>
          <cell r="AK331">
            <v>1</v>
          </cell>
          <cell r="AL331">
            <v>1</v>
          </cell>
          <cell r="AM331">
            <v>0.19354838709677419</v>
          </cell>
          <cell r="AN331">
            <v>3.3333333333333333E-2</v>
          </cell>
          <cell r="AO331">
            <v>1.5806451612903225</v>
          </cell>
          <cell r="AP331">
            <v>1.7741935483870968</v>
          </cell>
          <cell r="AQ331">
            <v>0.23333333333333334</v>
          </cell>
          <cell r="AX331">
            <v>0.3</v>
          </cell>
          <cell r="AY331">
            <v>1</v>
          </cell>
          <cell r="AZ331">
            <v>1</v>
          </cell>
        </row>
        <row r="332">
          <cell r="C332" t="str">
            <v>EliotCommunityHS/Arling/734-736Mass 3</v>
          </cell>
          <cell r="D332" t="str">
            <v>Coastal Area Office</v>
          </cell>
          <cell r="J332">
            <v>0.83870967741935487</v>
          </cell>
          <cell r="K332">
            <v>1.6451612903225805</v>
          </cell>
          <cell r="L332">
            <v>1.1785714285714284</v>
          </cell>
          <cell r="M332">
            <v>0.16129032258064516</v>
          </cell>
          <cell r="T332">
            <v>0.32258064516129037</v>
          </cell>
          <cell r="U332">
            <v>2.1666666666666665</v>
          </cell>
          <cell r="V332">
            <v>1.6451612903225805</v>
          </cell>
          <cell r="W332">
            <v>9.6774193548387094E-2</v>
          </cell>
          <cell r="X332">
            <v>1</v>
          </cell>
          <cell r="Y332">
            <v>0.5161290322580645</v>
          </cell>
          <cell r="AC332">
            <v>0.41935483870967744</v>
          </cell>
          <cell r="AE332">
            <v>0.66666666666666674</v>
          </cell>
          <cell r="AG332">
            <v>0.56666666666666665</v>
          </cell>
          <cell r="AH332">
            <v>0.45161290322580644</v>
          </cell>
          <cell r="AK332">
            <v>0.45161290322580644</v>
          </cell>
          <cell r="AL332">
            <v>6.6666666666666666E-2</v>
          </cell>
          <cell r="AM332">
            <v>0.83870967741935487</v>
          </cell>
          <cell r="AN332">
            <v>0.23333333333333334</v>
          </cell>
          <cell r="AX332">
            <v>0.3</v>
          </cell>
          <cell r="AY332">
            <v>0.74193548387096775</v>
          </cell>
        </row>
        <row r="333">
          <cell r="C333" t="str">
            <v>EliotCommunityHS/Arling/734-736Mass 4</v>
          </cell>
          <cell r="D333" t="str">
            <v>Framingham Area Office</v>
          </cell>
          <cell r="I333">
            <v>0.13333333333333333</v>
          </cell>
          <cell r="J333">
            <v>1.4516129032258065</v>
          </cell>
          <cell r="K333">
            <v>0.32258064516129031</v>
          </cell>
          <cell r="M333">
            <v>0.29032258064516131</v>
          </cell>
          <cell r="N333">
            <v>1</v>
          </cell>
          <cell r="O333">
            <v>1</v>
          </cell>
          <cell r="P333">
            <v>1</v>
          </cell>
          <cell r="Q333">
            <v>0.70967741935483875</v>
          </cell>
          <cell r="W333">
            <v>0.93548387096774199</v>
          </cell>
          <cell r="X333">
            <v>0.13793103448275862</v>
          </cell>
          <cell r="Z333">
            <v>1.8666666666666667</v>
          </cell>
          <cell r="AA333">
            <v>1.129032258064516</v>
          </cell>
          <cell r="AE333">
            <v>0.4</v>
          </cell>
          <cell r="AF333">
            <v>1.064516129032258</v>
          </cell>
          <cell r="AG333">
            <v>1.8666666666666669</v>
          </cell>
          <cell r="AH333">
            <v>1.967741935483871</v>
          </cell>
          <cell r="AI333">
            <v>2.5161290322580645</v>
          </cell>
          <cell r="AJ333">
            <v>3</v>
          </cell>
          <cell r="AK333">
            <v>1.161290322580645</v>
          </cell>
          <cell r="AL333">
            <v>1.0333333333333334</v>
          </cell>
          <cell r="AM333">
            <v>1.8064516129032258</v>
          </cell>
          <cell r="AN333">
            <v>2.2000000000000002</v>
          </cell>
          <cell r="AO333">
            <v>1.096774193548387</v>
          </cell>
          <cell r="AP333">
            <v>6.4516129032258063E-2</v>
          </cell>
          <cell r="AQ333">
            <v>1.1333333333333333</v>
          </cell>
          <cell r="AR333">
            <v>1.5806451612903225</v>
          </cell>
          <cell r="AS333">
            <v>6.6666666666666666E-2</v>
          </cell>
          <cell r="AT333">
            <v>6.4516129032258063E-2</v>
          </cell>
          <cell r="AU333">
            <v>2.4838709677419355</v>
          </cell>
          <cell r="AV333">
            <v>2.6071428571428572</v>
          </cell>
          <cell r="AW333">
            <v>2</v>
          </cell>
          <cell r="AX333">
            <v>2</v>
          </cell>
          <cell r="AY333">
            <v>1.4838709677419355</v>
          </cell>
          <cell r="AZ333">
            <v>2.7666666666666666</v>
          </cell>
        </row>
        <row r="334">
          <cell r="C334" t="str">
            <v>EliotCommunityHS/Arling/734-736Mass 5</v>
          </cell>
          <cell r="D334" t="str">
            <v>Hyde Park Area Office</v>
          </cell>
          <cell r="Q334">
            <v>3.2258064516129031E-2</v>
          </cell>
        </row>
        <row r="335">
          <cell r="C335" t="str">
            <v>EliotCommunityHS/Arling/734-736Mass 6</v>
          </cell>
          <cell r="D335" t="str">
            <v>Malden Area Office</v>
          </cell>
          <cell r="H335">
            <v>1.6451612903225805</v>
          </cell>
          <cell r="I335">
            <v>1.9666666666666668</v>
          </cell>
          <cell r="J335">
            <v>1.064516129032258</v>
          </cell>
          <cell r="K335">
            <v>2.032258064516129</v>
          </cell>
          <cell r="L335">
            <v>2.4642857142857144</v>
          </cell>
          <cell r="M335">
            <v>0.64516129032258063</v>
          </cell>
          <cell r="N335">
            <v>0.4</v>
          </cell>
          <cell r="O335">
            <v>2</v>
          </cell>
          <cell r="P335">
            <v>1.7666666666666666</v>
          </cell>
          <cell r="Q335">
            <v>1</v>
          </cell>
          <cell r="R335">
            <v>1.3870967741935483</v>
          </cell>
          <cell r="S335">
            <v>1.4</v>
          </cell>
          <cell r="T335">
            <v>0.967741935483871</v>
          </cell>
          <cell r="U335">
            <v>0.73333333333333328</v>
          </cell>
          <cell r="W335">
            <v>1.8387096774193548</v>
          </cell>
          <cell r="X335">
            <v>2.4827586206896552</v>
          </cell>
          <cell r="Y335">
            <v>1.129032258064516</v>
          </cell>
          <cell r="AA335">
            <v>0.12903225806451613</v>
          </cell>
          <cell r="AB335">
            <v>2.2333333333333334</v>
          </cell>
          <cell r="AC335">
            <v>1.2903225806451613</v>
          </cell>
          <cell r="AF335">
            <v>0.93548387096774199</v>
          </cell>
          <cell r="AG335">
            <v>1.3333333333333335</v>
          </cell>
          <cell r="AH335">
            <v>0.77419354838709675</v>
          </cell>
          <cell r="AI335">
            <v>0.5161290322580645</v>
          </cell>
          <cell r="AJ335">
            <v>0.7142857142857143</v>
          </cell>
          <cell r="AK335">
            <v>1.6774193548387095</v>
          </cell>
          <cell r="AL335">
            <v>2</v>
          </cell>
          <cell r="AM335">
            <v>1.096774193548387</v>
          </cell>
          <cell r="AN335">
            <v>1.7</v>
          </cell>
          <cell r="AO335">
            <v>1.5483870967741935</v>
          </cell>
          <cell r="AP335">
            <v>1.9677419354838712</v>
          </cell>
          <cell r="AQ335">
            <v>2.9</v>
          </cell>
          <cell r="AR335">
            <v>3</v>
          </cell>
          <cell r="AS335">
            <v>2.9333333333333331</v>
          </cell>
          <cell r="AT335">
            <v>2.32258064516129</v>
          </cell>
          <cell r="AU335">
            <v>2</v>
          </cell>
          <cell r="AV335">
            <v>2</v>
          </cell>
          <cell r="AW335">
            <v>2.129032258064516</v>
          </cell>
          <cell r="AX335">
            <v>1.2333333333333334</v>
          </cell>
          <cell r="AY335">
            <v>1</v>
          </cell>
          <cell r="AZ335">
            <v>6.6666666666666666E-2</v>
          </cell>
        </row>
        <row r="336">
          <cell r="C336" t="str">
            <v>EliotCommunityHS/Arling/734-736Mass 7</v>
          </cell>
          <cell r="D336" t="str">
            <v>South Central Area Office</v>
          </cell>
          <cell r="AK336">
            <v>0.25806451612903225</v>
          </cell>
        </row>
        <row r="337">
          <cell r="C337" t="str">
            <v>EliotCommunityHS/Arling/734-736Mass 8</v>
          </cell>
          <cell r="D337" t="str">
            <v>Worcester East Area Office</v>
          </cell>
          <cell r="AK337">
            <v>0.32258064516129031</v>
          </cell>
        </row>
        <row r="338">
          <cell r="C338" t="str">
            <v>EliotCommunityHS/Dedham/20Harvey 1</v>
          </cell>
          <cell r="D338" t="str">
            <v>Arlington Area Office</v>
          </cell>
          <cell r="H338">
            <v>0.70967741935483875</v>
          </cell>
          <cell r="I338">
            <v>0.83333333333333337</v>
          </cell>
          <cell r="L338">
            <v>2.7142857142857144</v>
          </cell>
          <cell r="M338">
            <v>1.32258064516129</v>
          </cell>
          <cell r="N338">
            <v>0.96666666666666656</v>
          </cell>
          <cell r="O338">
            <v>1.064516129032258</v>
          </cell>
          <cell r="P338">
            <v>1.9333333333333333</v>
          </cell>
          <cell r="Q338">
            <v>0.5161290322580645</v>
          </cell>
          <cell r="S338">
            <v>0.16666666666666666</v>
          </cell>
          <cell r="T338">
            <v>1.2258064516129032</v>
          </cell>
          <cell r="U338">
            <v>2</v>
          </cell>
          <cell r="V338">
            <v>2</v>
          </cell>
          <cell r="W338">
            <v>2</v>
          </cell>
          <cell r="X338">
            <v>1.1379310344827587</v>
          </cell>
          <cell r="Y338">
            <v>1</v>
          </cell>
          <cell r="Z338">
            <v>1</v>
          </cell>
          <cell r="AA338">
            <v>1</v>
          </cell>
          <cell r="AB338">
            <v>1.7333333333333334</v>
          </cell>
          <cell r="AC338">
            <v>0.77419354838709675</v>
          </cell>
          <cell r="AD338">
            <v>0.93548387096774188</v>
          </cell>
          <cell r="AE338">
            <v>0.3</v>
          </cell>
          <cell r="AF338">
            <v>1</v>
          </cell>
          <cell r="AG338">
            <v>1</v>
          </cell>
          <cell r="AH338">
            <v>1</v>
          </cell>
          <cell r="AI338">
            <v>1.064516129032258</v>
          </cell>
          <cell r="AJ338">
            <v>2.0714285714285712</v>
          </cell>
          <cell r="AK338">
            <v>2</v>
          </cell>
          <cell r="AL338">
            <v>1.0666666666666667</v>
          </cell>
          <cell r="AN338">
            <v>1</v>
          </cell>
          <cell r="AO338">
            <v>1</v>
          </cell>
          <cell r="AP338">
            <v>0.41935483870967744</v>
          </cell>
          <cell r="AR338">
            <v>9.6774193548387094E-2</v>
          </cell>
          <cell r="AS338">
            <v>0.96666666666666667</v>
          </cell>
          <cell r="AV338">
            <v>0.42857142857142855</v>
          </cell>
          <cell r="AW338">
            <v>0.19354838709677419</v>
          </cell>
          <cell r="AX338">
            <v>1</v>
          </cell>
          <cell r="AY338">
            <v>1</v>
          </cell>
          <cell r="AZ338">
            <v>1</v>
          </cell>
        </row>
        <row r="339">
          <cell r="C339" t="str">
            <v>EliotCommunityHS/Dedham/20Harvey 2</v>
          </cell>
          <cell r="D339" t="str">
            <v>Cambridge Area Office</v>
          </cell>
          <cell r="H339">
            <v>0.83870967741935487</v>
          </cell>
          <cell r="I339">
            <v>1</v>
          </cell>
          <cell r="J339">
            <v>0.83870967741935487</v>
          </cell>
          <cell r="K339">
            <v>0.64516129032258063</v>
          </cell>
          <cell r="L339">
            <v>1.3214285714285714</v>
          </cell>
          <cell r="M339">
            <v>0.25806451612903225</v>
          </cell>
          <cell r="N339">
            <v>3.3333333333333333E-2</v>
          </cell>
          <cell r="O339">
            <v>1</v>
          </cell>
          <cell r="P339">
            <v>0.56666666666666665</v>
          </cell>
          <cell r="W339">
            <v>0.35483870967741937</v>
          </cell>
          <cell r="X339">
            <v>1</v>
          </cell>
          <cell r="Y339">
            <v>1.129032258064516</v>
          </cell>
          <cell r="Z339">
            <v>1</v>
          </cell>
          <cell r="AA339">
            <v>0.70967741935483875</v>
          </cell>
          <cell r="AB339">
            <v>0.73333333333333328</v>
          </cell>
          <cell r="AC339">
            <v>1</v>
          </cell>
          <cell r="AD339">
            <v>1.4193548387096775</v>
          </cell>
          <cell r="AE339">
            <v>1</v>
          </cell>
          <cell r="AF339">
            <v>1</v>
          </cell>
          <cell r="AG339">
            <v>1</v>
          </cell>
          <cell r="AH339">
            <v>0.87096774193548387</v>
          </cell>
          <cell r="AI339">
            <v>1.4838709677419355</v>
          </cell>
          <cell r="AJ339">
            <v>1</v>
          </cell>
          <cell r="AK339">
            <v>1</v>
          </cell>
          <cell r="AL339">
            <v>1</v>
          </cell>
          <cell r="AM339">
            <v>1.096774193548387</v>
          </cell>
          <cell r="AN339">
            <v>1.0666666666666667</v>
          </cell>
          <cell r="AO339">
            <v>1.2580645161290323</v>
          </cell>
          <cell r="AP339">
            <v>2.774193548387097</v>
          </cell>
          <cell r="AQ339">
            <v>2.333333333333333</v>
          </cell>
          <cell r="AR339">
            <v>2.4193548387096775</v>
          </cell>
          <cell r="AS339">
            <v>1</v>
          </cell>
          <cell r="AT339">
            <v>0.70967741935483875</v>
          </cell>
          <cell r="AW339">
            <v>0.64516129032258063</v>
          </cell>
          <cell r="AX339">
            <v>1</v>
          </cell>
          <cell r="AY339">
            <v>0.54838709677419351</v>
          </cell>
        </row>
        <row r="340">
          <cell r="C340" t="str">
            <v>EliotCommunityHS/Dedham/20Harvey 3</v>
          </cell>
          <cell r="D340" t="str">
            <v>Coastal Area Office</v>
          </cell>
          <cell r="G340">
            <v>2</v>
          </cell>
          <cell r="H340">
            <v>1.2258064516129032</v>
          </cell>
          <cell r="I340">
            <v>2.4333333333333331</v>
          </cell>
          <cell r="J340">
            <v>3.2580645161290325</v>
          </cell>
          <cell r="K340">
            <v>2.129032258064516</v>
          </cell>
          <cell r="M340">
            <v>0.90322580645161288</v>
          </cell>
          <cell r="N340">
            <v>1.8333333333333335</v>
          </cell>
          <cell r="O340">
            <v>0.70967741935483875</v>
          </cell>
          <cell r="P340">
            <v>0.43333333333333335</v>
          </cell>
          <cell r="Q340">
            <v>3</v>
          </cell>
          <cell r="R340">
            <v>3.290322580645161</v>
          </cell>
          <cell r="S340">
            <v>3.8666666666666663</v>
          </cell>
          <cell r="T340">
            <v>2.967741935483871</v>
          </cell>
          <cell r="U340">
            <v>3.4</v>
          </cell>
          <cell r="V340">
            <v>4</v>
          </cell>
          <cell r="W340">
            <v>1.2580645161290323</v>
          </cell>
          <cell r="X340">
            <v>1</v>
          </cell>
          <cell r="Y340">
            <v>1</v>
          </cell>
          <cell r="Z340">
            <v>1.5</v>
          </cell>
          <cell r="AA340">
            <v>3</v>
          </cell>
          <cell r="AB340">
            <v>1.5666666666666667</v>
          </cell>
          <cell r="AC340">
            <v>2.32258064516129</v>
          </cell>
          <cell r="AD340">
            <v>2.387096774193548</v>
          </cell>
          <cell r="AE340">
            <v>3.3666666666666667</v>
          </cell>
          <cell r="AF340">
            <v>3.096774193548387</v>
          </cell>
          <cell r="AG340">
            <v>2</v>
          </cell>
          <cell r="AH340">
            <v>1.5161290322580645</v>
          </cell>
          <cell r="AI340">
            <v>0.19354838709677419</v>
          </cell>
          <cell r="AJ340">
            <v>0.35714285714285715</v>
          </cell>
          <cell r="AK340">
            <v>1.2580645161290323</v>
          </cell>
          <cell r="AL340">
            <v>1.2333333333333334</v>
          </cell>
          <cell r="AM340">
            <v>1.032258064516129</v>
          </cell>
          <cell r="AN340">
            <v>0.9</v>
          </cell>
          <cell r="AO340">
            <v>0.70967741935483863</v>
          </cell>
          <cell r="AS340">
            <v>0.76666666666666672</v>
          </cell>
          <cell r="AT340">
            <v>0.5161290322580645</v>
          </cell>
          <cell r="AU340">
            <v>0.90322580645161288</v>
          </cell>
          <cell r="AV340">
            <v>0.6071428571428571</v>
          </cell>
          <cell r="AW340">
            <v>1</v>
          </cell>
          <cell r="AX340">
            <v>0.5</v>
          </cell>
          <cell r="AZ340">
            <v>0.46666666666666667</v>
          </cell>
        </row>
        <row r="341">
          <cell r="C341" t="str">
            <v>EliotCommunityHS/Dedham/20Harvey 4</v>
          </cell>
          <cell r="D341" t="str">
            <v>Dimock St. Area Office</v>
          </cell>
          <cell r="AA341">
            <v>1</v>
          </cell>
          <cell r="AB341">
            <v>0.5</v>
          </cell>
        </row>
        <row r="342">
          <cell r="C342" t="str">
            <v>EliotCommunityHS/Dedham/20Harvey 5</v>
          </cell>
          <cell r="D342" t="str">
            <v>Framingham Area Office</v>
          </cell>
          <cell r="R342">
            <v>0.83870967741935487</v>
          </cell>
          <cell r="S342">
            <v>0.8666666666666667</v>
          </cell>
          <cell r="W342">
            <v>0.96774193548387089</v>
          </cell>
          <cell r="X342">
            <v>1.6206896551724137</v>
          </cell>
          <cell r="Y342">
            <v>1.870967741935484</v>
          </cell>
          <cell r="Z342">
            <v>1.1333333333333333</v>
          </cell>
          <cell r="AH342">
            <v>0.77419354838709675</v>
          </cell>
          <cell r="AI342">
            <v>1</v>
          </cell>
          <cell r="AJ342">
            <v>0.8214285714285714</v>
          </cell>
          <cell r="AK342">
            <v>0.29032258064516131</v>
          </cell>
          <cell r="AL342">
            <v>1.3</v>
          </cell>
          <cell r="AM342">
            <v>1.6774193548387095</v>
          </cell>
          <cell r="AN342">
            <v>1</v>
          </cell>
          <cell r="AO342">
            <v>1.7741935483870968</v>
          </cell>
          <cell r="AP342">
            <v>1.3225806451612903</v>
          </cell>
          <cell r="AQ342">
            <v>0.36666666666666664</v>
          </cell>
          <cell r="AR342">
            <v>1</v>
          </cell>
          <cell r="AS342">
            <v>1.5333333333333334</v>
          </cell>
          <cell r="AT342">
            <v>2.806451612903226</v>
          </cell>
          <cell r="AU342">
            <v>2</v>
          </cell>
          <cell r="AV342">
            <v>1.7857142857142856</v>
          </cell>
          <cell r="AW342">
            <v>1</v>
          </cell>
          <cell r="AX342">
            <v>2</v>
          </cell>
          <cell r="AY342">
            <v>3.935483870967742</v>
          </cell>
          <cell r="AZ342">
            <v>4</v>
          </cell>
        </row>
        <row r="343">
          <cell r="C343" t="str">
            <v>EliotCommunityHS/Dedham/20Harvey 6</v>
          </cell>
          <cell r="D343" t="str">
            <v>Greenfield Area Office</v>
          </cell>
          <cell r="AP343">
            <v>0.45161290322580644</v>
          </cell>
        </row>
        <row r="344">
          <cell r="C344" t="str">
            <v>EliotCommunityHS/Dedham/20Harvey 7</v>
          </cell>
          <cell r="D344" t="str">
            <v>Malden Area Office</v>
          </cell>
          <cell r="G344">
            <v>2</v>
          </cell>
          <cell r="H344">
            <v>1.096774193548387</v>
          </cell>
          <cell r="L344">
            <v>0.2857142857142857</v>
          </cell>
          <cell r="M344">
            <v>1</v>
          </cell>
          <cell r="N344">
            <v>0.8666666666666667</v>
          </cell>
          <cell r="O344">
            <v>1.7741935483870968</v>
          </cell>
          <cell r="P344">
            <v>3</v>
          </cell>
          <cell r="Q344">
            <v>2</v>
          </cell>
          <cell r="R344">
            <v>1.3225806451612905</v>
          </cell>
          <cell r="Y344">
            <v>0.19354838709677419</v>
          </cell>
          <cell r="Z344">
            <v>0.56666666666666665</v>
          </cell>
          <cell r="AB344">
            <v>0.76666666666666672</v>
          </cell>
          <cell r="AC344">
            <v>1</v>
          </cell>
          <cell r="AD344">
            <v>0.35483870967741937</v>
          </cell>
          <cell r="AF344">
            <v>0.29032258064516131</v>
          </cell>
          <cell r="AG344">
            <v>1</v>
          </cell>
          <cell r="AH344">
            <v>9.6774193548387094E-2</v>
          </cell>
          <cell r="AJ344">
            <v>0.35714285714285715</v>
          </cell>
          <cell r="AK344">
            <v>1</v>
          </cell>
          <cell r="AL344">
            <v>0.93333333333333335</v>
          </cell>
          <cell r="AM344">
            <v>2</v>
          </cell>
          <cell r="AN344">
            <v>1.9666666666666668</v>
          </cell>
          <cell r="AO344">
            <v>0.5161290322580645</v>
          </cell>
          <cell r="AS344">
            <v>0.23333333333333334</v>
          </cell>
        </row>
        <row r="345">
          <cell r="C345" t="str">
            <v>EliotCommunityHS/Dedham/20Harvey 8</v>
          </cell>
          <cell r="D345" t="str">
            <v>North Central Area Office</v>
          </cell>
          <cell r="AF345">
            <v>6.4516129032258063E-2</v>
          </cell>
          <cell r="AG345">
            <v>1</v>
          </cell>
          <cell r="AH345">
            <v>1</v>
          </cell>
          <cell r="AI345">
            <v>1</v>
          </cell>
          <cell r="AJ345">
            <v>0.5714285714285714</v>
          </cell>
        </row>
        <row r="346">
          <cell r="C346" t="str">
            <v>EliotCommunityHS/JamPlain/281HydePk 1</v>
          </cell>
          <cell r="D346" t="str">
            <v>Dimock St. Area Office</v>
          </cell>
          <cell r="E346">
            <v>2.161290322580645</v>
          </cell>
          <cell r="F346">
            <v>1.161290322580645</v>
          </cell>
          <cell r="G346">
            <v>3.5666666666666664</v>
          </cell>
          <cell r="H346">
            <v>1.7096774193548385</v>
          </cell>
          <cell r="I346">
            <v>2.0333333333333332</v>
          </cell>
          <cell r="J346">
            <v>0.58064516129032251</v>
          </cell>
          <cell r="L346">
            <v>2.6785714285714288</v>
          </cell>
          <cell r="M346">
            <v>3.612903225806452</v>
          </cell>
          <cell r="N346">
            <v>1.8666666666666667</v>
          </cell>
          <cell r="O346">
            <v>2.7419354838709675</v>
          </cell>
          <cell r="P346">
            <v>3.3333333333333335</v>
          </cell>
          <cell r="Q346">
            <v>3.161290322580645</v>
          </cell>
          <cell r="R346">
            <v>3.7096774193548385</v>
          </cell>
          <cell r="S346">
            <v>3.0666666666666664</v>
          </cell>
          <cell r="T346">
            <v>3.838709677419355</v>
          </cell>
          <cell r="U346">
            <v>0.7</v>
          </cell>
          <cell r="V346">
            <v>1.3225806451612903</v>
          </cell>
          <cell r="W346">
            <v>1.161290322580645</v>
          </cell>
          <cell r="X346">
            <v>2.7586206896551722</v>
          </cell>
          <cell r="Y346">
            <v>1.3870967741935483</v>
          </cell>
          <cell r="Z346">
            <v>6.6666666666666666E-2</v>
          </cell>
        </row>
        <row r="347">
          <cell r="C347" t="str">
            <v>EliotCommunityHS/JamPlain/281HydePk 2</v>
          </cell>
          <cell r="D347" t="str">
            <v>Harbor Area Office</v>
          </cell>
          <cell r="E347">
            <v>0.4838709677419355</v>
          </cell>
          <cell r="F347">
            <v>1</v>
          </cell>
          <cell r="G347">
            <v>0.8666666666666667</v>
          </cell>
          <cell r="I347">
            <v>2.2666666666666666</v>
          </cell>
          <cell r="J347">
            <v>0.70967741935483875</v>
          </cell>
          <cell r="K347">
            <v>6.4516129032258063E-2</v>
          </cell>
          <cell r="L347">
            <v>1.6071428571428572</v>
          </cell>
          <cell r="M347">
            <v>2.290322580645161</v>
          </cell>
          <cell r="N347">
            <v>2.5333333333333332</v>
          </cell>
          <cell r="O347">
            <v>2.129032258064516</v>
          </cell>
          <cell r="P347">
            <v>3</v>
          </cell>
          <cell r="Q347">
            <v>2.6129032258064515</v>
          </cell>
          <cell r="R347">
            <v>2.7741935483870965</v>
          </cell>
          <cell r="S347">
            <v>2.2999999999999998</v>
          </cell>
          <cell r="T347">
            <v>2.193548387096774</v>
          </cell>
          <cell r="U347">
            <v>0.2</v>
          </cell>
          <cell r="V347">
            <v>1.967741935483871</v>
          </cell>
          <cell r="W347">
            <v>4.161290322580645</v>
          </cell>
          <cell r="X347">
            <v>6.6551724137931032</v>
          </cell>
          <cell r="Y347">
            <v>3.258064516129032</v>
          </cell>
          <cell r="Z347">
            <v>6.6666666666666666E-2</v>
          </cell>
        </row>
        <row r="348">
          <cell r="C348" t="str">
            <v>EliotCommunityHS/JamPlain/281HydePk 3</v>
          </cell>
          <cell r="D348" t="str">
            <v>Hyde Park Area Office</v>
          </cell>
          <cell r="E348">
            <v>1</v>
          </cell>
          <cell r="F348">
            <v>2.096774193548387</v>
          </cell>
          <cell r="G348">
            <v>1.9666666666666668</v>
          </cell>
          <cell r="H348">
            <v>1.161290322580645</v>
          </cell>
          <cell r="I348">
            <v>1</v>
          </cell>
          <cell r="J348">
            <v>2.5806451612903225</v>
          </cell>
          <cell r="K348">
            <v>2.161290322580645</v>
          </cell>
          <cell r="L348">
            <v>1.2857142857142856</v>
          </cell>
          <cell r="M348">
            <v>1.5806451612903225</v>
          </cell>
          <cell r="N348">
            <v>0.56666666666666665</v>
          </cell>
          <cell r="O348">
            <v>1.838709677419355</v>
          </cell>
          <cell r="P348">
            <v>2.4333333333333331</v>
          </cell>
          <cell r="Q348">
            <v>2.6129032258064515</v>
          </cell>
          <cell r="R348">
            <v>0.61290322580645162</v>
          </cell>
          <cell r="S348">
            <v>0.53333333333333333</v>
          </cell>
          <cell r="T348">
            <v>1.903225806451613</v>
          </cell>
          <cell r="U348">
            <v>1.5666666666666667</v>
          </cell>
          <cell r="V348">
            <v>3.032258064516129</v>
          </cell>
          <cell r="W348">
            <v>2.709677419354839</v>
          </cell>
          <cell r="X348">
            <v>0.68965517241379315</v>
          </cell>
          <cell r="Y348">
            <v>1.967741935483871</v>
          </cell>
          <cell r="Z348">
            <v>0.2</v>
          </cell>
        </row>
        <row r="349">
          <cell r="C349" t="str">
            <v>EliotCommunityHS/JamPlain/281HydePk 4</v>
          </cell>
          <cell r="D349" t="str">
            <v>Park St. Area Office</v>
          </cell>
          <cell r="E349">
            <v>1.3548387096774193</v>
          </cell>
          <cell r="F349">
            <v>3</v>
          </cell>
          <cell r="G349">
            <v>2.9666666666666663</v>
          </cell>
          <cell r="H349">
            <v>2.967741935483871</v>
          </cell>
          <cell r="I349">
            <v>4.2</v>
          </cell>
          <cell r="J349">
            <v>2.774193548387097</v>
          </cell>
          <cell r="K349">
            <v>3.032258064516129</v>
          </cell>
          <cell r="L349">
            <v>4.3571428571428568</v>
          </cell>
          <cell r="M349">
            <v>3.4516129032258065</v>
          </cell>
          <cell r="N349">
            <v>3.6</v>
          </cell>
          <cell r="O349">
            <v>4.5483870967741931</v>
          </cell>
          <cell r="P349">
            <v>2.2999999999999998</v>
          </cell>
          <cell r="Q349">
            <v>2</v>
          </cell>
          <cell r="R349">
            <v>3.193548387096774</v>
          </cell>
          <cell r="S349">
            <v>3.8</v>
          </cell>
          <cell r="T349">
            <v>3.6129032258064515</v>
          </cell>
          <cell r="U349">
            <v>1.0666666666666667</v>
          </cell>
          <cell r="V349">
            <v>2.709677419354839</v>
          </cell>
          <cell r="W349">
            <v>2.129032258064516</v>
          </cell>
          <cell r="X349">
            <v>1.5172413793103448</v>
          </cell>
          <cell r="Y349">
            <v>2.032258064516129</v>
          </cell>
          <cell r="Z349">
            <v>0.2</v>
          </cell>
        </row>
        <row r="350">
          <cell r="C350" t="str">
            <v>EliotCommunityHS/Lynn/12OrchardSt 1</v>
          </cell>
          <cell r="D350" t="str">
            <v>Arlington Area Office</v>
          </cell>
          <cell r="L350">
            <v>7.1428571428571425E-2</v>
          </cell>
          <cell r="M350">
            <v>3.2258064516129031E-2</v>
          </cell>
        </row>
        <row r="351">
          <cell r="C351" t="str">
            <v>EliotCommunityHS/Lynn/12OrchardSt 2</v>
          </cell>
          <cell r="D351" t="str">
            <v>Cape Ann Area Office</v>
          </cell>
          <cell r="G351">
            <v>0.26666666666666666</v>
          </cell>
          <cell r="H351">
            <v>1.7096774193548385</v>
          </cell>
          <cell r="I351">
            <v>1.9333333333333331</v>
          </cell>
          <cell r="J351">
            <v>2.4193548387096775</v>
          </cell>
          <cell r="K351">
            <v>1.4516129032258065</v>
          </cell>
          <cell r="L351">
            <v>3.0357142857142856</v>
          </cell>
          <cell r="M351">
            <v>2.32258064516129</v>
          </cell>
          <cell r="N351">
            <v>2.8666666666666667</v>
          </cell>
          <cell r="O351">
            <v>2.387096774193548</v>
          </cell>
          <cell r="P351">
            <v>2</v>
          </cell>
          <cell r="Q351">
            <v>1.870967741935484</v>
          </cell>
          <cell r="R351">
            <v>1.967741935483871</v>
          </cell>
          <cell r="S351">
            <v>1.1666666666666667</v>
          </cell>
          <cell r="T351">
            <v>3</v>
          </cell>
          <cell r="U351">
            <v>1.7333333333333334</v>
          </cell>
          <cell r="V351">
            <v>0.64516129032258063</v>
          </cell>
          <cell r="W351">
            <v>0.80645161290322576</v>
          </cell>
          <cell r="X351">
            <v>0.34482758620689657</v>
          </cell>
          <cell r="AB351">
            <v>0.96666666666666667</v>
          </cell>
          <cell r="AC351">
            <v>1.096774193548387</v>
          </cell>
          <cell r="AD351">
            <v>0.54838709677419351</v>
          </cell>
          <cell r="AE351">
            <v>1.5333333333333332</v>
          </cell>
          <cell r="AF351">
            <v>3.4838709677419351</v>
          </cell>
          <cell r="AG351">
            <v>0.8666666666666667</v>
          </cell>
          <cell r="AH351">
            <v>3.2258064516129031E-2</v>
          </cell>
          <cell r="AI351">
            <v>1.935483870967742</v>
          </cell>
          <cell r="AJ351">
            <v>1.4285714285714284</v>
          </cell>
          <cell r="AK351">
            <v>2.3225806451612905</v>
          </cell>
          <cell r="AL351">
            <v>1.5666666666666667</v>
          </cell>
          <cell r="AM351">
            <v>2.709677419354839</v>
          </cell>
          <cell r="AN351">
            <v>0.4</v>
          </cell>
          <cell r="AO351">
            <v>2.161290322580645</v>
          </cell>
          <cell r="AP351">
            <v>2.67741935483871</v>
          </cell>
          <cell r="AQ351">
            <v>2.2000000000000002</v>
          </cell>
          <cell r="AR351">
            <v>2.5483870967741935</v>
          </cell>
          <cell r="AS351">
            <v>0.7</v>
          </cell>
          <cell r="AT351">
            <v>0.19354838709677419</v>
          </cell>
          <cell r="AU351">
            <v>3</v>
          </cell>
          <cell r="AV351">
            <v>0.89285714285714279</v>
          </cell>
          <cell r="AW351">
            <v>0.64516129032258063</v>
          </cell>
          <cell r="AX351">
            <v>2.5333333333333332</v>
          </cell>
          <cell r="AY351">
            <v>3.4193548387096775</v>
          </cell>
          <cell r="AZ351">
            <v>2.7666666666666666</v>
          </cell>
        </row>
        <row r="352">
          <cell r="C352" t="str">
            <v>EliotCommunityHS/Lynn/12OrchardSt 3</v>
          </cell>
          <cell r="D352" t="str">
            <v>Haverhill Area Office</v>
          </cell>
          <cell r="J352">
            <v>9.6774193548387094E-2</v>
          </cell>
          <cell r="K352">
            <v>0.25806451612903225</v>
          </cell>
          <cell r="L352">
            <v>1</v>
          </cell>
          <cell r="M352">
            <v>0.35483870967741937</v>
          </cell>
          <cell r="P352">
            <v>0.13333333333333333</v>
          </cell>
          <cell r="Q352">
            <v>3.2258064516129031E-2</v>
          </cell>
          <cell r="R352">
            <v>0.74193548387096775</v>
          </cell>
          <cell r="W352">
            <v>0.25806451612903225</v>
          </cell>
        </row>
        <row r="353">
          <cell r="C353" t="str">
            <v>EliotCommunityHS/Lynn/12OrchardSt 4</v>
          </cell>
          <cell r="D353" t="str">
            <v>Lawrence Area Office</v>
          </cell>
          <cell r="V353">
            <v>1.7419354838709677</v>
          </cell>
          <cell r="W353">
            <v>1.4838709677419355</v>
          </cell>
          <cell r="AJ353">
            <v>0.39285714285714285</v>
          </cell>
          <cell r="AK353">
            <v>0.32258064516129031</v>
          </cell>
          <cell r="AW353">
            <v>0.70967741935483863</v>
          </cell>
          <cell r="AX353">
            <v>0.26666666666666666</v>
          </cell>
        </row>
        <row r="354">
          <cell r="C354" t="str">
            <v>EliotCommunityHS/Lynn/12OrchardSt 5</v>
          </cell>
          <cell r="D354" t="str">
            <v>Lowell Area Office</v>
          </cell>
          <cell r="AT354">
            <v>0.967741935483871</v>
          </cell>
          <cell r="AW354">
            <v>0.90322580645161288</v>
          </cell>
          <cell r="AX354">
            <v>0.5</v>
          </cell>
        </row>
        <row r="355">
          <cell r="C355" t="str">
            <v>EliotCommunityHS/Lynn/12OrchardSt 6</v>
          </cell>
          <cell r="D355" t="str">
            <v>Lynn Area Office</v>
          </cell>
          <cell r="F355">
            <v>3.129032258064516</v>
          </cell>
          <cell r="G355">
            <v>3.1666666666666665</v>
          </cell>
          <cell r="H355">
            <v>2.5161290322580645</v>
          </cell>
          <cell r="I355">
            <v>2.8666666666666667</v>
          </cell>
          <cell r="J355">
            <v>2.193548387096774</v>
          </cell>
          <cell r="K355">
            <v>2.032258064516129</v>
          </cell>
          <cell r="L355">
            <v>1.6071428571428572</v>
          </cell>
          <cell r="M355">
            <v>2.935483870967742</v>
          </cell>
          <cell r="N355">
            <v>1.6666666666666665</v>
          </cell>
          <cell r="O355">
            <v>2.064516129032258</v>
          </cell>
          <cell r="P355">
            <v>2.5333333333333332</v>
          </cell>
          <cell r="Q355">
            <v>2.064516129032258</v>
          </cell>
          <cell r="R355">
            <v>1.6451612903225807</v>
          </cell>
          <cell r="S355">
            <v>1.8</v>
          </cell>
          <cell r="T355">
            <v>2.935483870967742</v>
          </cell>
          <cell r="U355">
            <v>2.2666666666666666</v>
          </cell>
          <cell r="V355">
            <v>0.67741935483870974</v>
          </cell>
          <cell r="W355">
            <v>1.3870967741935485</v>
          </cell>
          <cell r="X355">
            <v>1.9310344827586208</v>
          </cell>
          <cell r="Y355">
            <v>3</v>
          </cell>
          <cell r="Z355">
            <v>2.5333333333333332</v>
          </cell>
          <cell r="AA355">
            <v>2.6774193548387095</v>
          </cell>
          <cell r="AB355">
            <v>3.9</v>
          </cell>
          <cell r="AC355">
            <v>2.838709677419355</v>
          </cell>
          <cell r="AD355">
            <v>3.032258064516129</v>
          </cell>
          <cell r="AE355">
            <v>3</v>
          </cell>
          <cell r="AF355">
            <v>1.3870967741935485</v>
          </cell>
          <cell r="AG355">
            <v>2.2000000000000002</v>
          </cell>
          <cell r="AH355">
            <v>1.967741935483871</v>
          </cell>
          <cell r="AI355">
            <v>2.193548387096774</v>
          </cell>
          <cell r="AJ355">
            <v>2.6071428571428572</v>
          </cell>
          <cell r="AK355">
            <v>2.354838709677419</v>
          </cell>
          <cell r="AL355">
            <v>2.8666666666666667</v>
          </cell>
          <cell r="AM355">
            <v>2.806451612903226</v>
          </cell>
          <cell r="AN355">
            <v>2.9333333333333336</v>
          </cell>
          <cell r="AO355">
            <v>2.612903225806452</v>
          </cell>
          <cell r="AP355">
            <v>2</v>
          </cell>
          <cell r="AQ355">
            <v>3.1</v>
          </cell>
          <cell r="AR355">
            <v>2.096774193548387</v>
          </cell>
          <cell r="AS355">
            <v>2.8</v>
          </cell>
          <cell r="AT355">
            <v>1.4516129032258065</v>
          </cell>
          <cell r="AU355">
            <v>2.6129032258064515</v>
          </cell>
          <cell r="AV355">
            <v>1.8928571428571428</v>
          </cell>
          <cell r="AW355">
            <v>1.838709677419355</v>
          </cell>
          <cell r="AX355">
            <v>1.4666666666666668</v>
          </cell>
          <cell r="AY355">
            <v>2.161290322580645</v>
          </cell>
          <cell r="AZ355">
            <v>1.2333333333333332</v>
          </cell>
        </row>
        <row r="356">
          <cell r="C356" t="str">
            <v>EliotCommunityHS/Lynn/12OrchardSt 7</v>
          </cell>
          <cell r="D356" t="str">
            <v>Malden Area Office</v>
          </cell>
          <cell r="Y356">
            <v>6.4516129032258063E-2</v>
          </cell>
          <cell r="Z356">
            <v>0.5</v>
          </cell>
          <cell r="AF356">
            <v>0.45161290322580644</v>
          </cell>
          <cell r="AZ356">
            <v>6.6666666666666666E-2</v>
          </cell>
        </row>
        <row r="357">
          <cell r="C357" t="str">
            <v>EliotCommunityHS/Medford/159Allston 1</v>
          </cell>
          <cell r="D357" t="str">
            <v>Arlington Area Office</v>
          </cell>
          <cell r="R357">
            <v>6.4516129032258063E-2</v>
          </cell>
          <cell r="AO357">
            <v>0.29032258064516131</v>
          </cell>
          <cell r="AW357">
            <v>0.45161290322580644</v>
          </cell>
          <cell r="AX357">
            <v>3.3333333333333333E-2</v>
          </cell>
        </row>
        <row r="358">
          <cell r="C358" t="str">
            <v>EliotCommunityHS/Medford/159Allston 2</v>
          </cell>
          <cell r="D358" t="str">
            <v>Coastal Area Office</v>
          </cell>
          <cell r="AG358">
            <v>0.3</v>
          </cell>
          <cell r="AH358">
            <v>1.5161290322580645</v>
          </cell>
          <cell r="AI358">
            <v>0.80645161290322576</v>
          </cell>
        </row>
        <row r="359">
          <cell r="C359" t="str">
            <v>EliotCommunityHS/Medford/159Allston 3</v>
          </cell>
          <cell r="D359" t="str">
            <v>Dimock St. Area Office</v>
          </cell>
          <cell r="E359">
            <v>2.3548387096774195</v>
          </cell>
          <cell r="F359">
            <v>2.32258064516129</v>
          </cell>
          <cell r="G359">
            <v>1.1666666666666667</v>
          </cell>
          <cell r="H359">
            <v>0.80645161290322576</v>
          </cell>
          <cell r="I359">
            <v>3.5666666666666669</v>
          </cell>
          <cell r="J359">
            <v>4.6451612903225801</v>
          </cell>
          <cell r="K359">
            <v>3.129032258064516</v>
          </cell>
          <cell r="L359">
            <v>1.3928571428571428</v>
          </cell>
          <cell r="M359">
            <v>0.64516129032258063</v>
          </cell>
          <cell r="N359">
            <v>0.76666666666666661</v>
          </cell>
          <cell r="O359">
            <v>1.4838709677419355</v>
          </cell>
          <cell r="P359">
            <v>1.5</v>
          </cell>
          <cell r="Q359">
            <v>0.45161290322580644</v>
          </cell>
          <cell r="R359">
            <v>0.16129032258064516</v>
          </cell>
          <cell r="T359">
            <v>0.83870967741935476</v>
          </cell>
          <cell r="U359">
            <v>0.6333333333333333</v>
          </cell>
          <cell r="V359">
            <v>1.032258064516129</v>
          </cell>
          <cell r="W359">
            <v>2.4516129032258061</v>
          </cell>
          <cell r="X359">
            <v>0.2413793103448276</v>
          </cell>
          <cell r="Y359">
            <v>2</v>
          </cell>
          <cell r="Z359">
            <v>2.9666666666666663</v>
          </cell>
          <cell r="AA359">
            <v>0.45161290322580644</v>
          </cell>
          <cell r="AC359">
            <v>0.54838709677419351</v>
          </cell>
          <cell r="AD359">
            <v>2.6451612903225805</v>
          </cell>
          <cell r="AE359">
            <v>2.0333333333333332</v>
          </cell>
          <cell r="AF359">
            <v>1.1612903225806452</v>
          </cell>
          <cell r="AG359">
            <v>0.23333333333333334</v>
          </cell>
          <cell r="AH359">
            <v>1</v>
          </cell>
          <cell r="AI359">
            <v>0.22580645161290322</v>
          </cell>
          <cell r="AK359">
            <v>0.29032258064516131</v>
          </cell>
          <cell r="AL359">
            <v>0.93333333333333324</v>
          </cell>
          <cell r="AM359">
            <v>1.4516129032258065</v>
          </cell>
          <cell r="AO359">
            <v>0.35483870967741937</v>
          </cell>
          <cell r="AR359">
            <v>0.22580645161290322</v>
          </cell>
          <cell r="AS359">
            <v>1.6666666666666665</v>
          </cell>
          <cell r="AT359">
            <v>0.32258064516129031</v>
          </cell>
          <cell r="AU359">
            <v>0.87096774193548387</v>
          </cell>
          <cell r="AV359">
            <v>1.75</v>
          </cell>
          <cell r="AW359">
            <v>1.2903225806451613</v>
          </cell>
          <cell r="AX359">
            <v>0.33333333333333331</v>
          </cell>
          <cell r="AY359">
            <v>1.3548387096774193</v>
          </cell>
          <cell r="AZ359">
            <v>3.8666666666666667</v>
          </cell>
        </row>
        <row r="360">
          <cell r="C360" t="str">
            <v>EliotCommunityHS/Medford/159Allston 4</v>
          </cell>
          <cell r="D360" t="str">
            <v>Framingham Area Office</v>
          </cell>
          <cell r="AS360">
            <v>0.36666666666666664</v>
          </cell>
          <cell r="AT360">
            <v>0.58064516129032251</v>
          </cell>
          <cell r="AW360">
            <v>0.29032258064516131</v>
          </cell>
          <cell r="AX360">
            <v>0.16666666666666666</v>
          </cell>
        </row>
        <row r="361">
          <cell r="C361" t="str">
            <v>EliotCommunityHS/Medford/159Allston 5</v>
          </cell>
          <cell r="D361" t="str">
            <v>Harbor Area Office</v>
          </cell>
          <cell r="F361">
            <v>1.4193548387096775</v>
          </cell>
          <cell r="G361">
            <v>0.8666666666666667</v>
          </cell>
          <cell r="H361">
            <v>1.6451612903225805</v>
          </cell>
          <cell r="I361">
            <v>0.46666666666666667</v>
          </cell>
          <cell r="J361">
            <v>0.32258064516129031</v>
          </cell>
          <cell r="K361">
            <v>2.4516129032258065</v>
          </cell>
          <cell r="L361">
            <v>2.3928571428571428</v>
          </cell>
          <cell r="M361">
            <v>2</v>
          </cell>
          <cell r="N361">
            <v>2.4</v>
          </cell>
          <cell r="O361">
            <v>1.3548387096774195</v>
          </cell>
          <cell r="P361">
            <v>2.7</v>
          </cell>
          <cell r="Q361">
            <v>2.967741935483871</v>
          </cell>
          <cell r="R361">
            <v>2.903225806451613</v>
          </cell>
          <cell r="S361">
            <v>2.5666666666666664</v>
          </cell>
          <cell r="T361">
            <v>1.3870967741935485</v>
          </cell>
          <cell r="V361">
            <v>0.58064516129032262</v>
          </cell>
          <cell r="W361">
            <v>2.064516129032258</v>
          </cell>
          <cell r="X361">
            <v>1.0689655172413794</v>
          </cell>
          <cell r="Y361">
            <v>1.4516129032258065</v>
          </cell>
          <cell r="Z361">
            <v>0.33333333333333337</v>
          </cell>
          <cell r="AA361">
            <v>0.87096774193548387</v>
          </cell>
          <cell r="AB361">
            <v>0.16666666666666666</v>
          </cell>
          <cell r="AC361">
            <v>0.93548387096774188</v>
          </cell>
          <cell r="AD361">
            <v>0.90322580645161288</v>
          </cell>
          <cell r="AE361">
            <v>0.3</v>
          </cell>
          <cell r="AF361">
            <v>0.67741935483870974</v>
          </cell>
          <cell r="AG361">
            <v>1.6</v>
          </cell>
          <cell r="AH361">
            <v>6.4516129032258063E-2</v>
          </cell>
          <cell r="AJ361">
            <v>0.5714285714285714</v>
          </cell>
          <cell r="AK361">
            <v>2</v>
          </cell>
          <cell r="AL361">
            <v>1.2</v>
          </cell>
          <cell r="AM361">
            <v>3.935483870967742</v>
          </cell>
          <cell r="AN361">
            <v>1.8666666666666669</v>
          </cell>
          <cell r="AO361">
            <v>2.064516129032258</v>
          </cell>
          <cell r="AP361">
            <v>1.7741935483870968</v>
          </cell>
          <cell r="AQ361">
            <v>0.6</v>
          </cell>
          <cell r="AR361">
            <v>2.032258064516129</v>
          </cell>
          <cell r="AS361">
            <v>1.1000000000000001</v>
          </cell>
          <cell r="AT361">
            <v>3</v>
          </cell>
          <cell r="AU361">
            <v>3.4838709677419355</v>
          </cell>
          <cell r="AV361">
            <v>3.6428571428571432</v>
          </cell>
          <cell r="AW361">
            <v>1.290322580645161</v>
          </cell>
          <cell r="AX361">
            <v>3.5</v>
          </cell>
          <cell r="AY361">
            <v>3.290322580645161</v>
          </cell>
          <cell r="AZ361">
            <v>2.5333333333333337</v>
          </cell>
        </row>
        <row r="362">
          <cell r="C362" t="str">
            <v>EliotCommunityHS/Medford/159Allston 6</v>
          </cell>
          <cell r="D362" t="str">
            <v>Hyde Park Area Office</v>
          </cell>
          <cell r="F362">
            <v>0.93548387096774188</v>
          </cell>
          <cell r="G362">
            <v>0.93333333333333335</v>
          </cell>
          <cell r="H362">
            <v>1.4838709677419355</v>
          </cell>
          <cell r="I362">
            <v>2</v>
          </cell>
          <cell r="J362">
            <v>1.161290322580645</v>
          </cell>
          <cell r="K362">
            <v>0.77419354838709675</v>
          </cell>
          <cell r="L362">
            <v>0.7142857142857143</v>
          </cell>
          <cell r="M362">
            <v>1.967741935483871</v>
          </cell>
          <cell r="N362">
            <v>2.6333333333333333</v>
          </cell>
          <cell r="O362">
            <v>2.6451612903225805</v>
          </cell>
          <cell r="P362">
            <v>3</v>
          </cell>
          <cell r="Q362">
            <v>2.32258064516129</v>
          </cell>
          <cell r="R362">
            <v>1.193548387096774</v>
          </cell>
          <cell r="S362">
            <v>1.1666666666666665</v>
          </cell>
          <cell r="T362">
            <v>0.5161290322580645</v>
          </cell>
          <cell r="U362">
            <v>2.3666666666666667</v>
          </cell>
          <cell r="V362">
            <v>2.4516129032258065</v>
          </cell>
          <cell r="W362">
            <v>1.935483870967742</v>
          </cell>
          <cell r="X362">
            <v>0.72413793103448276</v>
          </cell>
          <cell r="Z362">
            <v>1.1666666666666665</v>
          </cell>
          <cell r="AA362">
            <v>2.8064516129032255</v>
          </cell>
          <cell r="AB362">
            <v>3.8666666666666667</v>
          </cell>
          <cell r="AC362">
            <v>1.6451612903225805</v>
          </cell>
          <cell r="AD362">
            <v>2.4193548387096775</v>
          </cell>
          <cell r="AE362">
            <v>3.2333333333333334</v>
          </cell>
          <cell r="AF362">
            <v>1.032258064516129</v>
          </cell>
          <cell r="AG362">
            <v>1</v>
          </cell>
          <cell r="AH362">
            <v>1.290322580645161</v>
          </cell>
          <cell r="AI362">
            <v>2.419354838709677</v>
          </cell>
          <cell r="AJ362">
            <v>2.3571428571428568</v>
          </cell>
          <cell r="AK362">
            <v>2.806451612903226</v>
          </cell>
          <cell r="AL362">
            <v>2.1333333333333333</v>
          </cell>
          <cell r="AM362">
            <v>1.3548387096774193</v>
          </cell>
          <cell r="AN362">
            <v>2.2999999999999998</v>
          </cell>
          <cell r="AO362">
            <v>2.32258064516129</v>
          </cell>
          <cell r="AP362">
            <v>1.8064516129032258</v>
          </cell>
          <cell r="AQ362">
            <v>1.6</v>
          </cell>
          <cell r="AR362">
            <v>2.225806451612903</v>
          </cell>
          <cell r="AS362">
            <v>1.5</v>
          </cell>
          <cell r="AT362">
            <v>1.4838709677419355</v>
          </cell>
          <cell r="AU362">
            <v>1.064516129032258</v>
          </cell>
          <cell r="AW362">
            <v>0.74193548387096775</v>
          </cell>
          <cell r="AX362">
            <v>0.8666666666666667</v>
          </cell>
          <cell r="AY362">
            <v>0.19354838709677419</v>
          </cell>
        </row>
        <row r="363">
          <cell r="C363" t="str">
            <v>EliotCommunityHS/Medford/159Allston 7</v>
          </cell>
          <cell r="D363" t="str">
            <v>Lynn Area Office</v>
          </cell>
          <cell r="X363">
            <v>0.10344827586206896</v>
          </cell>
          <cell r="AE363">
            <v>0.2</v>
          </cell>
          <cell r="AP363">
            <v>0.45161290322580644</v>
          </cell>
        </row>
        <row r="364">
          <cell r="C364" t="str">
            <v>EliotCommunityHS/Medford/159Allston 8</v>
          </cell>
          <cell r="D364" t="str">
            <v>Park St. Area Office</v>
          </cell>
          <cell r="E364">
            <v>3.290322580645161</v>
          </cell>
          <cell r="F364">
            <v>2.161290322580645</v>
          </cell>
          <cell r="G364">
            <v>1</v>
          </cell>
          <cell r="H364">
            <v>1.1935483870967742</v>
          </cell>
          <cell r="I364">
            <v>1</v>
          </cell>
          <cell r="J364">
            <v>1</v>
          </cell>
          <cell r="K364">
            <v>9.6774193548387094E-2</v>
          </cell>
          <cell r="L364">
            <v>2.0357142857142856</v>
          </cell>
          <cell r="M364">
            <v>3.225806451612903</v>
          </cell>
          <cell r="N364">
            <v>1.5666666666666667</v>
          </cell>
          <cell r="O364">
            <v>1.3225806451612903</v>
          </cell>
          <cell r="Q364">
            <v>1.3870967741935485</v>
          </cell>
          <cell r="R364">
            <v>2.225806451612903</v>
          </cell>
          <cell r="S364">
            <v>0.76666666666666661</v>
          </cell>
          <cell r="T364">
            <v>3.2258064516129035</v>
          </cell>
          <cell r="U364">
            <v>2.1666666666666665</v>
          </cell>
          <cell r="V364">
            <v>2.774193548387097</v>
          </cell>
          <cell r="W364">
            <v>0.70967741935483875</v>
          </cell>
          <cell r="X364">
            <v>0.86206896551724144</v>
          </cell>
          <cell r="Y364">
            <v>2.6129032258064515</v>
          </cell>
          <cell r="Z364">
            <v>2.5</v>
          </cell>
          <cell r="AA364">
            <v>3</v>
          </cell>
          <cell r="AB364">
            <v>2.1666666666666665</v>
          </cell>
          <cell r="AC364">
            <v>2.741935483870968</v>
          </cell>
          <cell r="AD364">
            <v>1.903225806451613</v>
          </cell>
          <cell r="AE364">
            <v>1.2666666666666668</v>
          </cell>
          <cell r="AF364">
            <v>2.7096774193548385</v>
          </cell>
          <cell r="AG364">
            <v>0.93333333333333335</v>
          </cell>
          <cell r="AH364">
            <v>2.064516129032258</v>
          </cell>
          <cell r="AI364">
            <v>3.4516129032258061</v>
          </cell>
          <cell r="AJ364">
            <v>3.1428571428571428</v>
          </cell>
          <cell r="AK364">
            <v>2.2903225806451615</v>
          </cell>
          <cell r="AL364">
            <v>2.5333333333333332</v>
          </cell>
          <cell r="AM364">
            <v>1.064516129032258</v>
          </cell>
          <cell r="AN364">
            <v>2.166666666666667</v>
          </cell>
          <cell r="AO364">
            <v>2.096774193548387</v>
          </cell>
          <cell r="AP364">
            <v>2.5806451612903225</v>
          </cell>
          <cell r="AQ364">
            <v>2.8</v>
          </cell>
          <cell r="AR364">
            <v>3.064516129032258</v>
          </cell>
          <cell r="AS364">
            <v>2.2333333333333338</v>
          </cell>
          <cell r="AT364">
            <v>1.4193548387096775</v>
          </cell>
          <cell r="AU364">
            <v>1.3870967741935485</v>
          </cell>
          <cell r="AV364">
            <v>1.8928571428571428</v>
          </cell>
          <cell r="AW364">
            <v>0.90322580645161288</v>
          </cell>
          <cell r="AX364">
            <v>1.3</v>
          </cell>
          <cell r="AY364">
            <v>1.1935483870967742</v>
          </cell>
          <cell r="AZ364">
            <v>0.76666666666666661</v>
          </cell>
        </row>
        <row r="365">
          <cell r="C365" t="str">
            <v>EliotCommunityHS/NewBedford/163Coun 1</v>
          </cell>
          <cell r="D365" t="str">
            <v>Brockton Area Office</v>
          </cell>
          <cell r="L365">
            <v>0.6428571428571429</v>
          </cell>
          <cell r="AA365">
            <v>3.2258064516129031E-2</v>
          </cell>
          <cell r="AB365">
            <v>1</v>
          </cell>
          <cell r="AC365">
            <v>1</v>
          </cell>
          <cell r="AD365">
            <v>1</v>
          </cell>
          <cell r="AE365">
            <v>1</v>
          </cell>
          <cell r="AF365">
            <v>0.83870967741935487</v>
          </cell>
          <cell r="AM365">
            <v>0.22580645161290322</v>
          </cell>
          <cell r="AX365">
            <v>1.3</v>
          </cell>
          <cell r="AY365">
            <v>1</v>
          </cell>
          <cell r="AZ365">
            <v>6.6666666666666666E-2</v>
          </cell>
        </row>
        <row r="366">
          <cell r="C366" t="str">
            <v>EliotCommunityHS/NewBedford/163Coun 2</v>
          </cell>
          <cell r="D366" t="str">
            <v>Coastal Area Office</v>
          </cell>
          <cell r="AB366">
            <v>0.1</v>
          </cell>
        </row>
        <row r="367">
          <cell r="C367" t="str">
            <v>EliotCommunityHS/NewBedford/163Coun 3</v>
          </cell>
          <cell r="D367" t="str">
            <v>Fall River Area Office</v>
          </cell>
          <cell r="T367">
            <v>3.2258064516129031E-2</v>
          </cell>
          <cell r="U367">
            <v>3.3333333333333333E-2</v>
          </cell>
          <cell r="AL367">
            <v>1</v>
          </cell>
          <cell r="AM367">
            <v>0.45161290322580644</v>
          </cell>
          <cell r="AN367">
            <v>0.56666666666666665</v>
          </cell>
          <cell r="AO367">
            <v>3.2258064516129031E-2</v>
          </cell>
          <cell r="AR367">
            <v>0.29032258064516131</v>
          </cell>
          <cell r="AS367">
            <v>1</v>
          </cell>
          <cell r="AT367">
            <v>0.4838709677419355</v>
          </cell>
          <cell r="AZ367">
            <v>0.2</v>
          </cell>
        </row>
        <row r="368">
          <cell r="C368" t="str">
            <v>EliotCommunityHS/NewBedford/163Coun 4</v>
          </cell>
          <cell r="D368" t="str">
            <v>Framingham Area Office</v>
          </cell>
          <cell r="AO368">
            <v>1.4838709677419355</v>
          </cell>
          <cell r="AP368">
            <v>0.77419354838709675</v>
          </cell>
        </row>
        <row r="369">
          <cell r="C369" t="str">
            <v>EliotCommunityHS/NewBedford/163Coun 5</v>
          </cell>
          <cell r="D369" t="str">
            <v>New Bedford Area Office</v>
          </cell>
          <cell r="H369">
            <v>0.61290322580645151</v>
          </cell>
          <cell r="I369">
            <v>6.4333333333333336</v>
          </cell>
          <cell r="J369">
            <v>6.9677419354838719</v>
          </cell>
          <cell r="K369">
            <v>5.5161290322580649</v>
          </cell>
          <cell r="L369">
            <v>5.3214285714285712</v>
          </cell>
          <cell r="M369">
            <v>7.1935483870967749</v>
          </cell>
          <cell r="N369">
            <v>7.4333333333333336</v>
          </cell>
          <cell r="O369">
            <v>4.935483870967742</v>
          </cell>
          <cell r="P369">
            <v>5.4333333333333336</v>
          </cell>
          <cell r="Q369">
            <v>7.0322580645161281</v>
          </cell>
          <cell r="R369">
            <v>7.645161290322581</v>
          </cell>
          <cell r="S369">
            <v>8.0333333333333332</v>
          </cell>
          <cell r="T369">
            <v>6.9677419354838701</v>
          </cell>
          <cell r="U369">
            <v>7.0666666666666673</v>
          </cell>
          <cell r="V369">
            <v>6.4838709677419359</v>
          </cell>
          <cell r="W369">
            <v>7.4838709677419351</v>
          </cell>
          <cell r="X369">
            <v>6.6896551724137927</v>
          </cell>
          <cell r="Y369">
            <v>6.4838709677419351</v>
          </cell>
          <cell r="Z369">
            <v>6.7333333333333325</v>
          </cell>
          <cell r="AA369">
            <v>7.9032258064516139</v>
          </cell>
          <cell r="AB369">
            <v>6.6</v>
          </cell>
          <cell r="AC369">
            <v>5.709677419354839</v>
          </cell>
          <cell r="AD369">
            <v>6.806451612903226</v>
          </cell>
          <cell r="AE369">
            <v>6.9</v>
          </cell>
          <cell r="AF369">
            <v>6.67741935483871</v>
          </cell>
          <cell r="AG369">
            <v>5.7</v>
          </cell>
          <cell r="AH369">
            <v>4.838709677419355</v>
          </cell>
          <cell r="AI369">
            <v>6.5161290322580649</v>
          </cell>
          <cell r="AJ369">
            <v>7.0714285714285703</v>
          </cell>
          <cell r="AK369">
            <v>7.161290322580645</v>
          </cell>
          <cell r="AL369">
            <v>5.833333333333333</v>
          </cell>
          <cell r="AM369">
            <v>5.3225806451612891</v>
          </cell>
          <cell r="AN369">
            <v>6.9666666666666668</v>
          </cell>
          <cell r="AO369">
            <v>6.064516129032258</v>
          </cell>
          <cell r="AP369">
            <v>5.129032258064516</v>
          </cell>
          <cell r="AQ369">
            <v>5.8666666666666671</v>
          </cell>
          <cell r="AR369">
            <v>5.032258064516129</v>
          </cell>
          <cell r="AS369">
            <v>4.833333333333333</v>
          </cell>
          <cell r="AT369">
            <v>5.4193548387096779</v>
          </cell>
          <cell r="AU369">
            <v>6.5483870967741931</v>
          </cell>
          <cell r="AV369">
            <v>6.7857142857142856</v>
          </cell>
          <cell r="AW369">
            <v>6</v>
          </cell>
          <cell r="AX369">
            <v>4.166666666666667</v>
          </cell>
          <cell r="AY369">
            <v>5.4838709677419359</v>
          </cell>
          <cell r="AZ369">
            <v>6.3</v>
          </cell>
        </row>
        <row r="370">
          <cell r="C370" t="str">
            <v>EliotCommunityHS/NewBedford/163Coun 6</v>
          </cell>
          <cell r="D370" t="str">
            <v>Plymouth Area Office</v>
          </cell>
          <cell r="V370">
            <v>0.45161290322580644</v>
          </cell>
          <cell r="AV370">
            <v>0.21428571428571427</v>
          </cell>
          <cell r="AW370">
            <v>3.2258064516129031E-2</v>
          </cell>
        </row>
        <row r="371">
          <cell r="C371" t="str">
            <v>EliotCommunityHS/NewBedford/163Coun 7</v>
          </cell>
          <cell r="D371" t="str">
            <v>Robert Van Wart Area Office</v>
          </cell>
          <cell r="AZ371">
            <v>0.73333333333333328</v>
          </cell>
        </row>
        <row r="372">
          <cell r="C372" t="str">
            <v>EliotCommunityHS/NewBedford/163Coun 8</v>
          </cell>
          <cell r="D372" t="str">
            <v>Springfield Area Office</v>
          </cell>
          <cell r="Y372">
            <v>0.12903225806451613</v>
          </cell>
        </row>
        <row r="373">
          <cell r="C373" t="str">
            <v>EliotCommunityHS/NewBedford/163Coun 9</v>
          </cell>
          <cell r="D373" t="str">
            <v>Taunton/Attleboro Area Office</v>
          </cell>
          <cell r="Q373">
            <v>3.2258064516129031E-2</v>
          </cell>
          <cell r="AY373">
            <v>0.16129032258064516</v>
          </cell>
          <cell r="AZ373">
            <v>3.3333333333333333E-2</v>
          </cell>
        </row>
        <row r="374">
          <cell r="C374" t="str">
            <v>EliotCommunityHS/Wakefield/18 Lafay 1</v>
          </cell>
          <cell r="D374" t="str">
            <v>Arlington Area Office</v>
          </cell>
          <cell r="N374">
            <v>0.4</v>
          </cell>
          <cell r="R374">
            <v>0.16129032258064516</v>
          </cell>
          <cell r="S374">
            <v>0.36666666666666664</v>
          </cell>
          <cell r="AA374">
            <v>0.45161290322580644</v>
          </cell>
        </row>
        <row r="375">
          <cell r="C375" t="str">
            <v>EliotCommunityHS/Wakefield/18 Lafay 2</v>
          </cell>
          <cell r="D375" t="str">
            <v>Cambridge Area Office</v>
          </cell>
          <cell r="I375">
            <v>0.23333333333333334</v>
          </cell>
          <cell r="J375">
            <v>2</v>
          </cell>
          <cell r="K375">
            <v>2</v>
          </cell>
          <cell r="L375">
            <v>2.4642857142857144</v>
          </cell>
          <cell r="M375">
            <v>1.4516129032258065</v>
          </cell>
          <cell r="N375">
            <v>0.73333333333333328</v>
          </cell>
          <cell r="O375">
            <v>2.096774193548387</v>
          </cell>
          <cell r="P375">
            <v>2</v>
          </cell>
          <cell r="Q375">
            <v>2</v>
          </cell>
          <cell r="R375">
            <v>1.935483870967742</v>
          </cell>
          <cell r="S375">
            <v>0.8666666666666667</v>
          </cell>
          <cell r="T375">
            <v>1.2258064516129032</v>
          </cell>
          <cell r="U375">
            <v>2.2000000000000002</v>
          </cell>
          <cell r="V375">
            <v>1.3870967741935485</v>
          </cell>
          <cell r="W375">
            <v>1.4838709677419355</v>
          </cell>
          <cell r="X375">
            <v>1.9655172413793105</v>
          </cell>
          <cell r="Y375">
            <v>1.3870967741935485</v>
          </cell>
          <cell r="Z375">
            <v>2</v>
          </cell>
          <cell r="AA375">
            <v>0.67741935483870963</v>
          </cell>
          <cell r="AB375">
            <v>1.9</v>
          </cell>
          <cell r="AC375">
            <v>1.935483870967742</v>
          </cell>
          <cell r="AD375">
            <v>1.6129032258064515</v>
          </cell>
          <cell r="AE375">
            <v>1</v>
          </cell>
          <cell r="AF375">
            <v>1.8064516129032258</v>
          </cell>
          <cell r="AG375">
            <v>2</v>
          </cell>
          <cell r="AH375">
            <v>1.9354838709677418</v>
          </cell>
          <cell r="AI375">
            <v>1.7419354838709677</v>
          </cell>
          <cell r="AJ375">
            <v>1.0714285714285714</v>
          </cell>
          <cell r="AK375">
            <v>1.8064516129032258</v>
          </cell>
          <cell r="AL375">
            <v>1.8666666666666667</v>
          </cell>
          <cell r="AM375">
            <v>2</v>
          </cell>
          <cell r="AN375">
            <v>0.96666666666666656</v>
          </cell>
          <cell r="AO375">
            <v>1.032258064516129</v>
          </cell>
          <cell r="AP375">
            <v>0.29032258064516131</v>
          </cell>
          <cell r="AQ375">
            <v>0.23333333333333334</v>
          </cell>
          <cell r="AR375">
            <v>1.870967741935484</v>
          </cell>
          <cell r="AS375">
            <v>1.3333333333333335</v>
          </cell>
          <cell r="AT375">
            <v>2</v>
          </cell>
          <cell r="AU375">
            <v>1.4193548387096775</v>
          </cell>
          <cell r="AV375">
            <v>1.25</v>
          </cell>
          <cell r="AW375">
            <v>1.7096774193548387</v>
          </cell>
          <cell r="AX375">
            <v>1.6333333333333333</v>
          </cell>
          <cell r="AY375">
            <v>1.5806451612903225</v>
          </cell>
          <cell r="AZ375">
            <v>1.6333333333333333</v>
          </cell>
        </row>
        <row r="376">
          <cell r="C376" t="str">
            <v>EliotCommunityHS/Wakefield/18 Lafay 3</v>
          </cell>
          <cell r="D376" t="str">
            <v>Cape Ann Area Office</v>
          </cell>
          <cell r="AJ376">
            <v>3.5714285714285712E-2</v>
          </cell>
        </row>
        <row r="377">
          <cell r="C377" t="str">
            <v>EliotCommunityHS/Wakefield/18 Lafay 4</v>
          </cell>
          <cell r="D377" t="str">
            <v>Coastal Area Office</v>
          </cell>
          <cell r="K377">
            <v>0.19354838709677419</v>
          </cell>
          <cell r="Z377">
            <v>0.2</v>
          </cell>
          <cell r="AL377">
            <v>0.16666666666666666</v>
          </cell>
        </row>
        <row r="378">
          <cell r="C378" t="str">
            <v>EliotCommunityHS/Wakefield/18 Lafay 5</v>
          </cell>
          <cell r="D378" t="str">
            <v>Framingham Area Office</v>
          </cell>
          <cell r="O378">
            <v>0.16129032258064516</v>
          </cell>
          <cell r="AA378">
            <v>6.4516129032258063E-2</v>
          </cell>
          <cell r="AB378">
            <v>0.13333333333333333</v>
          </cell>
          <cell r="AC378">
            <v>0.90322580645161288</v>
          </cell>
          <cell r="AQ378">
            <v>0.7</v>
          </cell>
          <cell r="AR378">
            <v>6.4516129032258063E-2</v>
          </cell>
          <cell r="AS378">
            <v>0.43333333333333335</v>
          </cell>
          <cell r="AV378">
            <v>0.10714285714285714</v>
          </cell>
          <cell r="AW378">
            <v>0.32258064516129031</v>
          </cell>
          <cell r="AX378">
            <v>0.16666666666666666</v>
          </cell>
          <cell r="AY378">
            <v>0.12903225806451613</v>
          </cell>
          <cell r="AZ378">
            <v>3.3333333333333333E-2</v>
          </cell>
        </row>
        <row r="379">
          <cell r="C379" t="str">
            <v>EliotCommunityHS/Wakefield/18 Lafay 6</v>
          </cell>
          <cell r="D379" t="str">
            <v>Lynn Area Office</v>
          </cell>
          <cell r="AC379">
            <v>3.2258064516129031E-2</v>
          </cell>
          <cell r="AD379">
            <v>0.74193548387096775</v>
          </cell>
          <cell r="AE379">
            <v>0.1</v>
          </cell>
          <cell r="AQ379">
            <v>0.26666666666666666</v>
          </cell>
        </row>
        <row r="380">
          <cell r="C380" t="str">
            <v>EliotCommunityHS/Wakefield/18 Lafay 7</v>
          </cell>
          <cell r="D380" t="str">
            <v>Malden Area Office</v>
          </cell>
          <cell r="I380">
            <v>0.7</v>
          </cell>
          <cell r="J380">
            <v>2.129032258064516</v>
          </cell>
          <cell r="K380">
            <v>1.4193548387096775</v>
          </cell>
          <cell r="L380">
            <v>1.75</v>
          </cell>
          <cell r="M380">
            <v>2.806451612903226</v>
          </cell>
          <cell r="N380">
            <v>2.9333333333333331</v>
          </cell>
          <cell r="O380">
            <v>1.5806451612903225</v>
          </cell>
          <cell r="P380">
            <v>2.166666666666667</v>
          </cell>
          <cell r="Q380">
            <v>2.7419354838709675</v>
          </cell>
          <cell r="R380">
            <v>1.9032258064516128</v>
          </cell>
          <cell r="S380">
            <v>2.7</v>
          </cell>
          <cell r="T380">
            <v>2.8387096774193545</v>
          </cell>
          <cell r="U380">
            <v>2.5</v>
          </cell>
          <cell r="V380">
            <v>2.5806451612903225</v>
          </cell>
          <cell r="W380">
            <v>2.7419354838709675</v>
          </cell>
          <cell r="X380">
            <v>3</v>
          </cell>
          <cell r="Y380">
            <v>2.4838709677419355</v>
          </cell>
          <cell r="Z380">
            <v>2.6333333333333337</v>
          </cell>
          <cell r="AA380">
            <v>2.1612903225806455</v>
          </cell>
          <cell r="AB380">
            <v>2.4</v>
          </cell>
          <cell r="AC380">
            <v>2.935483870967742</v>
          </cell>
          <cell r="AD380">
            <v>1.6774193548387095</v>
          </cell>
          <cell r="AE380">
            <v>1.8333333333333335</v>
          </cell>
          <cell r="AF380">
            <v>2.935483870967742</v>
          </cell>
          <cell r="AG380">
            <v>2.3666666666666671</v>
          </cell>
          <cell r="AH380">
            <v>2.354838709677419</v>
          </cell>
          <cell r="AI380">
            <v>2.4838709677419355</v>
          </cell>
          <cell r="AJ380">
            <v>2.3928571428571428</v>
          </cell>
          <cell r="AK380">
            <v>2.7419354838709675</v>
          </cell>
          <cell r="AL380">
            <v>1.7333333333333334</v>
          </cell>
          <cell r="AM380">
            <v>2.4838709677419355</v>
          </cell>
          <cell r="AN380">
            <v>2.9666666666666668</v>
          </cell>
          <cell r="AO380">
            <v>3</v>
          </cell>
          <cell r="AP380">
            <v>2.6129032258064511</v>
          </cell>
          <cell r="AQ380">
            <v>2.4333333333333331</v>
          </cell>
          <cell r="AR380">
            <v>2.774193548387097</v>
          </cell>
          <cell r="AS380">
            <v>2.4</v>
          </cell>
          <cell r="AT380">
            <v>2.258064516129032</v>
          </cell>
          <cell r="AU380">
            <v>2.290322580645161</v>
          </cell>
          <cell r="AV380">
            <v>2.9285714285714288</v>
          </cell>
          <cell r="AW380">
            <v>2.258064516129032</v>
          </cell>
          <cell r="AX380">
            <v>2.5</v>
          </cell>
          <cell r="AY380">
            <v>2.806451612903226</v>
          </cell>
          <cell r="AZ380">
            <v>2.8333333333333335</v>
          </cell>
        </row>
        <row r="381">
          <cell r="C381" t="str">
            <v>Gandara / Greenfield / 107 Conway 1</v>
          </cell>
          <cell r="D381" t="str">
            <v>Ctr Human Dev (PAS West)</v>
          </cell>
          <cell r="O381">
            <v>3.2258064516129031E-2</v>
          </cell>
          <cell r="P381">
            <v>0.46666666666666667</v>
          </cell>
          <cell r="AW381">
            <v>0.967741935483871</v>
          </cell>
        </row>
        <row r="382">
          <cell r="C382" t="str">
            <v>Gandara / Greenfield / 107 Conway 2</v>
          </cell>
          <cell r="D382" t="str">
            <v>Greenfield Area Office</v>
          </cell>
          <cell r="I382">
            <v>2.2333333333333334</v>
          </cell>
          <cell r="J382">
            <v>1.129032258064516</v>
          </cell>
          <cell r="K382">
            <v>0.5161290322580645</v>
          </cell>
          <cell r="L382">
            <v>1.75</v>
          </cell>
          <cell r="M382">
            <v>5.387096774193548</v>
          </cell>
          <cell r="N382">
            <v>6.6</v>
          </cell>
          <cell r="O382">
            <v>5.5806451612903221</v>
          </cell>
          <cell r="P382">
            <v>4.4000000000000004</v>
          </cell>
          <cell r="Q382">
            <v>7.8709677419354822</v>
          </cell>
          <cell r="R382">
            <v>7.4838709677419359</v>
          </cell>
          <cell r="S382">
            <v>7.366666666666668</v>
          </cell>
          <cell r="T382">
            <v>8.064516129032258</v>
          </cell>
          <cell r="U382">
            <v>10.633333333333335</v>
          </cell>
          <cell r="V382">
            <v>9.1612903225806441</v>
          </cell>
          <cell r="W382">
            <v>7.8387096774193541</v>
          </cell>
          <cell r="X382">
            <v>8.3793103448275872</v>
          </cell>
          <cell r="Y382">
            <v>9.6451612903225801</v>
          </cell>
          <cell r="Z382">
            <v>8</v>
          </cell>
          <cell r="AA382">
            <v>8.935483870967742</v>
          </cell>
          <cell r="AB382">
            <v>9.4</v>
          </cell>
          <cell r="AC382">
            <v>10.290322580645162</v>
          </cell>
          <cell r="AD382">
            <v>11.322580645161292</v>
          </cell>
          <cell r="AE382">
            <v>10.033333333333333</v>
          </cell>
          <cell r="AF382">
            <v>10.677419354838708</v>
          </cell>
          <cell r="AG382">
            <v>10.733333333333336</v>
          </cell>
          <cell r="AH382">
            <v>10.741935483870968</v>
          </cell>
          <cell r="AI382">
            <v>10.64516129032258</v>
          </cell>
          <cell r="AJ382">
            <v>8.6071428571428577</v>
          </cell>
          <cell r="AK382">
            <v>9.193548387096774</v>
          </cell>
          <cell r="AL382">
            <v>10.733333333333333</v>
          </cell>
          <cell r="AM382">
            <v>11.483870967741936</v>
          </cell>
          <cell r="AN382">
            <v>8.4</v>
          </cell>
          <cell r="AO382">
            <v>8.387096774193548</v>
          </cell>
          <cell r="AP382">
            <v>9</v>
          </cell>
          <cell r="AQ382">
            <v>8.6333333333333329</v>
          </cell>
          <cell r="AR382">
            <v>10.193548387096774</v>
          </cell>
          <cell r="AS382">
            <v>10.766666666666667</v>
          </cell>
          <cell r="AT382">
            <v>10</v>
          </cell>
          <cell r="AU382">
            <v>9.32258064516129</v>
          </cell>
          <cell r="AV382">
            <v>10.535714285714285</v>
          </cell>
          <cell r="AW382">
            <v>10.419354838709678</v>
          </cell>
          <cell r="AX382">
            <v>12.866666666666667</v>
          </cell>
          <cell r="AY382">
            <v>10.35483870967742</v>
          </cell>
          <cell r="AZ382">
            <v>11.7</v>
          </cell>
        </row>
        <row r="383">
          <cell r="C383" t="str">
            <v>Gandara / Greenfield / 107 Conway 3</v>
          </cell>
          <cell r="D383" t="str">
            <v>Holyoke Area Office</v>
          </cell>
          <cell r="R383">
            <v>0.32258064516129031</v>
          </cell>
          <cell r="S383">
            <v>0.3666666666666667</v>
          </cell>
          <cell r="T383">
            <v>0.80645161290322587</v>
          </cell>
          <cell r="V383">
            <v>0.41935483870967744</v>
          </cell>
          <cell r="Y383">
            <v>0.80645161290322587</v>
          </cell>
          <cell r="Z383">
            <v>0.46666666666666667</v>
          </cell>
          <cell r="AE383">
            <v>0.13333333333333333</v>
          </cell>
          <cell r="AJ383">
            <v>0.42857142857142855</v>
          </cell>
          <cell r="AP383">
            <v>3.2258064516129031E-2</v>
          </cell>
          <cell r="AX383">
            <v>0.8</v>
          </cell>
          <cell r="AY383">
            <v>0.58064516129032251</v>
          </cell>
          <cell r="AZ383">
            <v>0.46666666666666667</v>
          </cell>
        </row>
        <row r="384">
          <cell r="C384" t="str">
            <v>Gandara / Greenfield / 107 Conway 4</v>
          </cell>
          <cell r="D384" t="str">
            <v>Lowell Area Office</v>
          </cell>
          <cell r="Y384">
            <v>9.6774193548387094E-2</v>
          </cell>
        </row>
        <row r="385">
          <cell r="C385" t="str">
            <v>Gandara / Greenfield / 107 Conway 5</v>
          </cell>
          <cell r="D385" t="str">
            <v>Pittsfield Area Office</v>
          </cell>
          <cell r="AJ385">
            <v>0.17857142857142858</v>
          </cell>
          <cell r="AP385">
            <v>0.4838709677419355</v>
          </cell>
          <cell r="AQ385">
            <v>1</v>
          </cell>
          <cell r="AR385">
            <v>0.38709677419354838</v>
          </cell>
          <cell r="AY385">
            <v>0.19354838709677419</v>
          </cell>
          <cell r="AZ385">
            <v>0.8</v>
          </cell>
        </row>
        <row r="386">
          <cell r="C386" t="str">
            <v>Gandara / Greenfield / 107 Conway 6</v>
          </cell>
          <cell r="D386" t="str">
            <v>Robert Van Wart Area Office</v>
          </cell>
          <cell r="Q386">
            <v>3.2258064516129031E-2</v>
          </cell>
          <cell r="R386">
            <v>0.967741935483871</v>
          </cell>
          <cell r="S386">
            <v>1</v>
          </cell>
          <cell r="T386">
            <v>0.12903225806451613</v>
          </cell>
          <cell r="X386">
            <v>6.8965517241379309E-2</v>
          </cell>
          <cell r="Z386">
            <v>1.1333333333333333</v>
          </cell>
          <cell r="AA386">
            <v>1.5806451612903225</v>
          </cell>
          <cell r="AB386">
            <v>1</v>
          </cell>
          <cell r="AC386">
            <v>0.41935483870967744</v>
          </cell>
          <cell r="AH386">
            <v>6.4516129032258063E-2</v>
          </cell>
          <cell r="AN386">
            <v>0.6333333333333333</v>
          </cell>
          <cell r="AO386">
            <v>0.38709677419354838</v>
          </cell>
          <cell r="AP386">
            <v>0.19354838709677419</v>
          </cell>
        </row>
        <row r="387">
          <cell r="C387" t="str">
            <v>Gandara / Greenfield / 107 Conway 7</v>
          </cell>
          <cell r="D387" t="str">
            <v>South Central Area Office</v>
          </cell>
          <cell r="AY387">
            <v>0.16129032258064516</v>
          </cell>
        </row>
        <row r="388">
          <cell r="C388" t="str">
            <v>Gandara / Greenfield / 107 Conway 8</v>
          </cell>
          <cell r="D388" t="str">
            <v>Springfield Area Office</v>
          </cell>
          <cell r="N388">
            <v>0.2</v>
          </cell>
          <cell r="O388">
            <v>0.25806451612903225</v>
          </cell>
          <cell r="S388">
            <v>0.4</v>
          </cell>
          <cell r="T388">
            <v>0.29032258064516131</v>
          </cell>
          <cell r="V388">
            <v>0.35483870967741937</v>
          </cell>
          <cell r="W388">
            <v>0.32258064516129031</v>
          </cell>
          <cell r="Y388">
            <v>0.19354838709677419</v>
          </cell>
          <cell r="Z388">
            <v>0.16666666666666666</v>
          </cell>
          <cell r="AD388">
            <v>3.2258064516129031E-2</v>
          </cell>
          <cell r="AY388">
            <v>0.41935483870967738</v>
          </cell>
          <cell r="AZ388">
            <v>0.83333333333333326</v>
          </cell>
        </row>
        <row r="389">
          <cell r="C389" t="str">
            <v>Gandara / Greenfield / 107 Conway 9</v>
          </cell>
          <cell r="D389" t="str">
            <v>Worcester East Area Office</v>
          </cell>
          <cell r="V389">
            <v>0.16129032258064516</v>
          </cell>
          <cell r="W389">
            <v>1</v>
          </cell>
          <cell r="X389">
            <v>1</v>
          </cell>
          <cell r="Y389">
            <v>0.19354838709677419</v>
          </cell>
        </row>
        <row r="390">
          <cell r="C390" t="str">
            <v>Gandara / Holyoke / 27-29 Canby St 1</v>
          </cell>
          <cell r="D390" t="str">
            <v>Greenfield Area Office</v>
          </cell>
          <cell r="N390">
            <v>0.1</v>
          </cell>
          <cell r="AD390">
            <v>0.12903225806451613</v>
          </cell>
          <cell r="AE390">
            <v>0.33333333333333331</v>
          </cell>
          <cell r="AH390">
            <v>0.22580645161290322</v>
          </cell>
        </row>
        <row r="391">
          <cell r="C391" t="str">
            <v>Gandara / Holyoke / 27-29 Canby St 2</v>
          </cell>
          <cell r="D391" t="str">
            <v>Holyoke Area Office</v>
          </cell>
          <cell r="I391">
            <v>2.8333333333333335</v>
          </cell>
          <cell r="J391">
            <v>2.774193548387097</v>
          </cell>
          <cell r="K391">
            <v>2.161290322580645</v>
          </cell>
          <cell r="L391">
            <v>3.3571428571428572</v>
          </cell>
          <cell r="M391">
            <v>5.967741935483871</v>
          </cell>
          <cell r="N391">
            <v>8.533333333333335</v>
          </cell>
          <cell r="O391">
            <v>5.774193548387097</v>
          </cell>
          <cell r="P391">
            <v>8.3333333333333339</v>
          </cell>
          <cell r="Q391">
            <v>8.2258064516129039</v>
          </cell>
          <cell r="R391">
            <v>7.580645161290323</v>
          </cell>
          <cell r="S391">
            <v>6.9</v>
          </cell>
          <cell r="T391">
            <v>8.064516129032258</v>
          </cell>
          <cell r="U391">
            <v>7.9333333333333345</v>
          </cell>
          <cell r="V391">
            <v>7.7741935483870961</v>
          </cell>
          <cell r="W391">
            <v>8.870967741935484</v>
          </cell>
          <cell r="X391">
            <v>9.0344827586206886</v>
          </cell>
          <cell r="Y391">
            <v>8.9677419354838701</v>
          </cell>
          <cell r="Z391">
            <v>8.6999999999999993</v>
          </cell>
          <cell r="AA391">
            <v>8.67741935483871</v>
          </cell>
          <cell r="AB391">
            <v>7.9666666666666668</v>
          </cell>
          <cell r="AC391">
            <v>8.3548387096774182</v>
          </cell>
          <cell r="AD391">
            <v>7.903225806451613</v>
          </cell>
          <cell r="AE391">
            <v>8.0666666666666664</v>
          </cell>
          <cell r="AF391">
            <v>8.6129032258064502</v>
          </cell>
          <cell r="AG391">
            <v>9.1999999999999993</v>
          </cell>
          <cell r="AH391">
            <v>8.258064516129032</v>
          </cell>
          <cell r="AI391">
            <v>7.2580645161290311</v>
          </cell>
          <cell r="AJ391">
            <v>6.5357142857142856</v>
          </cell>
          <cell r="AK391">
            <v>6.7096774193548381</v>
          </cell>
          <cell r="AL391">
            <v>5.7333333333333334</v>
          </cell>
          <cell r="AM391">
            <v>7.870967741935484</v>
          </cell>
          <cell r="AN391">
            <v>7.3</v>
          </cell>
          <cell r="AO391">
            <v>8.387096774193548</v>
          </cell>
          <cell r="AP391">
            <v>8.258064516129032</v>
          </cell>
          <cell r="AQ391">
            <v>7.1333333333333329</v>
          </cell>
          <cell r="AR391">
            <v>6.9677419354838701</v>
          </cell>
          <cell r="AS391">
            <v>6.7333333333333334</v>
          </cell>
          <cell r="AT391">
            <v>6.1935483870967731</v>
          </cell>
          <cell r="AU391">
            <v>8.4838709677419342</v>
          </cell>
          <cell r="AV391">
            <v>8.3928571428571423</v>
          </cell>
          <cell r="AW391">
            <v>8.193548387096774</v>
          </cell>
          <cell r="AX391">
            <v>8.8333333333333339</v>
          </cell>
          <cell r="AY391">
            <v>8.612903225806452</v>
          </cell>
          <cell r="AZ391">
            <v>9.1666666666666661</v>
          </cell>
        </row>
        <row r="392">
          <cell r="C392" t="str">
            <v>Gandara / Holyoke / 27-29 Canby St 3</v>
          </cell>
          <cell r="D392" t="str">
            <v>Pittsfield Area Office</v>
          </cell>
          <cell r="AD392">
            <v>0.41935483870967744</v>
          </cell>
          <cell r="AL392">
            <v>0.1</v>
          </cell>
        </row>
        <row r="393">
          <cell r="C393" t="str">
            <v>Gandara / Holyoke / 27-29 Canby St 4</v>
          </cell>
          <cell r="D393" t="str">
            <v>Robert Van Wart Area Office</v>
          </cell>
          <cell r="M393">
            <v>0.967741935483871</v>
          </cell>
          <cell r="N393">
            <v>2.4</v>
          </cell>
          <cell r="O393">
            <v>3.1290322580645165</v>
          </cell>
          <cell r="P393">
            <v>3.2</v>
          </cell>
          <cell r="Q393">
            <v>2.5483870967741935</v>
          </cell>
          <cell r="R393">
            <v>3.032258064516129</v>
          </cell>
          <cell r="S393">
            <v>3.8333333333333335</v>
          </cell>
          <cell r="T393">
            <v>3</v>
          </cell>
          <cell r="U393">
            <v>3.5333333333333332</v>
          </cell>
          <cell r="V393">
            <v>4</v>
          </cell>
          <cell r="W393">
            <v>2.935483870967742</v>
          </cell>
          <cell r="X393">
            <v>2.6896551724137931</v>
          </cell>
          <cell r="Y393">
            <v>2.806451612903226</v>
          </cell>
          <cell r="Z393">
            <v>3</v>
          </cell>
          <cell r="AA393">
            <v>3</v>
          </cell>
          <cell r="AB393">
            <v>2.9666666666666668</v>
          </cell>
          <cell r="AC393">
            <v>3.161290322580645</v>
          </cell>
          <cell r="AD393">
            <v>3</v>
          </cell>
          <cell r="AE393">
            <v>2.9666666666666668</v>
          </cell>
          <cell r="AF393">
            <v>3.096774193548387</v>
          </cell>
          <cell r="AG393">
            <v>3</v>
          </cell>
          <cell r="AH393">
            <v>2.9677419354838706</v>
          </cell>
          <cell r="AI393">
            <v>3.5161290322580645</v>
          </cell>
          <cell r="AJ393">
            <v>4.2857142857142856</v>
          </cell>
          <cell r="AK393">
            <v>4.096774193548387</v>
          </cell>
          <cell r="AL393">
            <v>3.2666666666666666</v>
          </cell>
          <cell r="AM393">
            <v>2.9677419354838706</v>
          </cell>
          <cell r="AN393">
            <v>3</v>
          </cell>
          <cell r="AO393">
            <v>3.032258064516129</v>
          </cell>
          <cell r="AP393">
            <v>2.7096774193548385</v>
          </cell>
          <cell r="AQ393">
            <v>3.5333333333333332</v>
          </cell>
          <cell r="AR393">
            <v>4.032258064516129</v>
          </cell>
          <cell r="AS393">
            <v>3.7666666666666666</v>
          </cell>
          <cell r="AT393">
            <v>2.6451612903225805</v>
          </cell>
          <cell r="AU393">
            <v>2.2903225806451615</v>
          </cell>
          <cell r="AV393">
            <v>2.2142857142857144</v>
          </cell>
          <cell r="AW393">
            <v>3.4838709677419355</v>
          </cell>
          <cell r="AX393">
            <v>4.2</v>
          </cell>
          <cell r="AY393">
            <v>4</v>
          </cell>
          <cell r="AZ393">
            <v>3.9666666666666668</v>
          </cell>
        </row>
        <row r="394">
          <cell r="C394" t="str">
            <v>Gandara / Holyoke / 27-29 Canby St 5</v>
          </cell>
          <cell r="D394" t="str">
            <v>Springfield Area Office</v>
          </cell>
          <cell r="N394">
            <v>0.4</v>
          </cell>
          <cell r="O394">
            <v>0.5161290322580645</v>
          </cell>
          <cell r="Q394">
            <v>6.4516129032258063E-2</v>
          </cell>
          <cell r="U394">
            <v>3.3333333333333333E-2</v>
          </cell>
          <cell r="V394">
            <v>3.2258064516129031E-2</v>
          </cell>
          <cell r="AA394">
            <v>3.2258064516129031E-2</v>
          </cell>
          <cell r="AC394">
            <v>3.2258064516129031E-2</v>
          </cell>
          <cell r="AF394">
            <v>0.22580645161290322</v>
          </cell>
          <cell r="AG394">
            <v>0.1</v>
          </cell>
          <cell r="AI394">
            <v>6.4516129032258063E-2</v>
          </cell>
          <cell r="AK394">
            <v>6.4516129032258063E-2</v>
          </cell>
          <cell r="AS394">
            <v>0.9</v>
          </cell>
          <cell r="AT394">
            <v>0.64516129032258063</v>
          </cell>
          <cell r="AW394">
            <v>0.32258064516129037</v>
          </cell>
          <cell r="AX394">
            <v>0.46666666666666667</v>
          </cell>
          <cell r="AY394">
            <v>0.5161290322580645</v>
          </cell>
          <cell r="AZ394">
            <v>3.3333333333333333E-2</v>
          </cell>
        </row>
        <row r="395">
          <cell r="C395" t="str">
            <v>Gandara / Holyoke / 27-29 Canby St 6</v>
          </cell>
          <cell r="D395" t="str">
            <v>(blank)</v>
          </cell>
          <cell r="AP395">
            <v>6.4516129032258063E-2</v>
          </cell>
        </row>
        <row r="396">
          <cell r="C396" t="str">
            <v>Gandara / Springfield / 25 Moorland 1</v>
          </cell>
          <cell r="D396" t="str">
            <v>Greenfield Area Office</v>
          </cell>
          <cell r="J396">
            <v>0.67741935483870963</v>
          </cell>
          <cell r="K396">
            <v>1</v>
          </cell>
          <cell r="L396">
            <v>0.5357142857142857</v>
          </cell>
          <cell r="O396">
            <v>0.70967741935483875</v>
          </cell>
          <cell r="P396">
            <v>0.4</v>
          </cell>
          <cell r="S396">
            <v>0.56666666666666665</v>
          </cell>
          <cell r="T396">
            <v>1.7096774193548387</v>
          </cell>
          <cell r="U396">
            <v>1</v>
          </cell>
          <cell r="V396">
            <v>0.54838709677419351</v>
          </cell>
          <cell r="X396">
            <v>0.51724137931034486</v>
          </cell>
          <cell r="Y396">
            <v>0.54838709677419351</v>
          </cell>
          <cell r="AC396">
            <v>0.12903225806451613</v>
          </cell>
          <cell r="AH396">
            <v>0.22580645161290322</v>
          </cell>
          <cell r="AL396">
            <v>0.13333333333333333</v>
          </cell>
          <cell r="AM396">
            <v>0.80645161290322576</v>
          </cell>
        </row>
        <row r="397">
          <cell r="C397" t="str">
            <v>Gandara / Springfield / 25 Moorland 2</v>
          </cell>
          <cell r="D397" t="str">
            <v>Holyoke Area Office</v>
          </cell>
          <cell r="K397">
            <v>1.6129032258064517</v>
          </cell>
          <cell r="L397">
            <v>2</v>
          </cell>
          <cell r="M397">
            <v>2.290322580645161</v>
          </cell>
          <cell r="N397">
            <v>2.0666666666666669</v>
          </cell>
          <cell r="P397">
            <v>1.4666666666666668</v>
          </cell>
          <cell r="Q397">
            <v>1.7419354838709677</v>
          </cell>
          <cell r="R397">
            <v>1.064516129032258</v>
          </cell>
          <cell r="S397">
            <v>2.9333333333333336</v>
          </cell>
          <cell r="T397">
            <v>0.93548387096774188</v>
          </cell>
          <cell r="U397">
            <v>1.1333333333333333</v>
          </cell>
          <cell r="V397">
            <v>2</v>
          </cell>
          <cell r="W397">
            <v>1.3870967741935483</v>
          </cell>
          <cell r="X397">
            <v>1.5862068965517242</v>
          </cell>
          <cell r="Y397">
            <v>2.5483870967741935</v>
          </cell>
          <cell r="Z397">
            <v>2.7</v>
          </cell>
          <cell r="AA397">
            <v>2.806451612903226</v>
          </cell>
          <cell r="AB397">
            <v>2.2333333333333334</v>
          </cell>
          <cell r="AC397">
            <v>1.5483870967741935</v>
          </cell>
          <cell r="AD397">
            <v>1.870967741935484</v>
          </cell>
          <cell r="AE397">
            <v>2.5</v>
          </cell>
          <cell r="AF397">
            <v>2.967741935483871</v>
          </cell>
          <cell r="AG397">
            <v>1.8</v>
          </cell>
          <cell r="AH397">
            <v>2.6451612903225805</v>
          </cell>
          <cell r="AI397">
            <v>1.3548387096774195</v>
          </cell>
          <cell r="AJ397">
            <v>1.4642857142857144</v>
          </cell>
          <cell r="AK397">
            <v>1.2580645161290323</v>
          </cell>
          <cell r="AL397">
            <v>2.0333333333333332</v>
          </cell>
          <cell r="AM397">
            <v>1.7419354838709677</v>
          </cell>
          <cell r="AN397">
            <v>2.333333333333333</v>
          </cell>
          <cell r="AO397">
            <v>2.903225806451613</v>
          </cell>
          <cell r="AP397">
            <v>2.064516129032258</v>
          </cell>
          <cell r="AQ397">
            <v>1.8666666666666667</v>
          </cell>
          <cell r="AR397">
            <v>2</v>
          </cell>
          <cell r="AS397">
            <v>2.1</v>
          </cell>
          <cell r="AT397">
            <v>1.3548387096774195</v>
          </cell>
          <cell r="AU397">
            <v>0.83870967741935487</v>
          </cell>
          <cell r="AV397">
            <v>1.0357142857142858</v>
          </cell>
          <cell r="AW397">
            <v>2.225806451612903</v>
          </cell>
          <cell r="AX397">
            <v>2.7666666666666666</v>
          </cell>
          <cell r="AY397">
            <v>1.903225806451613</v>
          </cell>
          <cell r="AZ397">
            <v>2.1333333333333333</v>
          </cell>
        </row>
        <row r="398">
          <cell r="C398" t="str">
            <v>Gandara / Springfield / 25 Moorland 3</v>
          </cell>
          <cell r="D398" t="str">
            <v>Pittsfield Area Office</v>
          </cell>
          <cell r="J398">
            <v>0.19354838709677419</v>
          </cell>
          <cell r="K398">
            <v>1</v>
          </cell>
          <cell r="L398">
            <v>1</v>
          </cell>
          <cell r="M398">
            <v>0.58064516129032262</v>
          </cell>
          <cell r="Z398">
            <v>0.46666666666666667</v>
          </cell>
          <cell r="AA398">
            <v>1.129032258064516</v>
          </cell>
          <cell r="AB398">
            <v>1.3666666666666667</v>
          </cell>
          <cell r="AC398">
            <v>0.22580645161290322</v>
          </cell>
          <cell r="AI398">
            <v>0.19354838709677419</v>
          </cell>
          <cell r="AJ398">
            <v>0.39285714285714285</v>
          </cell>
        </row>
        <row r="399">
          <cell r="C399" t="str">
            <v>Gandara / Springfield / 25 Moorland 4</v>
          </cell>
          <cell r="D399" t="str">
            <v>Robert Van Wart Area Office</v>
          </cell>
          <cell r="J399">
            <v>0.25806451612903225</v>
          </cell>
          <cell r="K399">
            <v>2</v>
          </cell>
          <cell r="L399">
            <v>1.2857142857142856</v>
          </cell>
          <cell r="M399">
            <v>3.096774193548387</v>
          </cell>
          <cell r="N399">
            <v>4</v>
          </cell>
          <cell r="O399">
            <v>3.387096774193548</v>
          </cell>
          <cell r="P399">
            <v>1.8</v>
          </cell>
          <cell r="Q399">
            <v>2.9032258064516125</v>
          </cell>
          <cell r="R399">
            <v>3.096774193548387</v>
          </cell>
          <cell r="S399">
            <v>3.4333333333333336</v>
          </cell>
          <cell r="T399">
            <v>2.4838709677419355</v>
          </cell>
          <cell r="U399">
            <v>2.7333333333333334</v>
          </cell>
          <cell r="V399">
            <v>2.8387096774193545</v>
          </cell>
          <cell r="W399">
            <v>3.806451612903226</v>
          </cell>
          <cell r="X399">
            <v>3.1724137931034484</v>
          </cell>
          <cell r="Y399">
            <v>1.9032258064516128</v>
          </cell>
          <cell r="Z399">
            <v>2</v>
          </cell>
          <cell r="AA399">
            <v>2</v>
          </cell>
          <cell r="AB399">
            <v>1.6666666666666667</v>
          </cell>
          <cell r="AC399">
            <v>2.7096774193548385</v>
          </cell>
          <cell r="AD399">
            <v>3.354838709677419</v>
          </cell>
          <cell r="AE399">
            <v>3.4</v>
          </cell>
          <cell r="AF399">
            <v>3</v>
          </cell>
          <cell r="AG399">
            <v>3.4333333333333336</v>
          </cell>
          <cell r="AH399">
            <v>2.354838709677419</v>
          </cell>
          <cell r="AI399">
            <v>2</v>
          </cell>
          <cell r="AJ399">
            <v>3.3214285714285712</v>
          </cell>
          <cell r="AK399">
            <v>3.129032258064516</v>
          </cell>
          <cell r="AL399">
            <v>3.5666666666666664</v>
          </cell>
          <cell r="AM399">
            <v>3.1612903225806446</v>
          </cell>
          <cell r="AN399">
            <v>3.4666666666666668</v>
          </cell>
          <cell r="AO399">
            <v>3</v>
          </cell>
          <cell r="AP399">
            <v>3.8064516129032255</v>
          </cell>
          <cell r="AQ399">
            <v>3.5666666666666664</v>
          </cell>
          <cell r="AR399">
            <v>2.935483870967742</v>
          </cell>
          <cell r="AS399">
            <v>2.6</v>
          </cell>
          <cell r="AT399">
            <v>3.419354838709677</v>
          </cell>
          <cell r="AU399">
            <v>3.258064516129032</v>
          </cell>
          <cell r="AV399">
            <v>2.5</v>
          </cell>
          <cell r="AW399">
            <v>2.741935483870968</v>
          </cell>
          <cell r="AX399">
            <v>2.8</v>
          </cell>
          <cell r="AY399">
            <v>3.0967741935483875</v>
          </cell>
          <cell r="AZ399">
            <v>2.5666666666666664</v>
          </cell>
        </row>
        <row r="400">
          <cell r="C400" t="str">
            <v>Gandara / Springfield / 25 Moorland 5</v>
          </cell>
          <cell r="D400" t="str">
            <v>Springfield Area Office</v>
          </cell>
          <cell r="J400">
            <v>0.87096774193548387</v>
          </cell>
          <cell r="K400">
            <v>2</v>
          </cell>
          <cell r="L400">
            <v>2.6071428571428572</v>
          </cell>
          <cell r="M400">
            <v>2.903225806451613</v>
          </cell>
          <cell r="N400">
            <v>2.4333333333333336</v>
          </cell>
          <cell r="O400">
            <v>1.967741935483871</v>
          </cell>
          <cell r="P400">
            <v>2.2666666666666666</v>
          </cell>
          <cell r="Q400">
            <v>1.6129032258064515</v>
          </cell>
          <cell r="R400">
            <v>3</v>
          </cell>
          <cell r="S400">
            <v>2.5333333333333332</v>
          </cell>
          <cell r="T400">
            <v>3.032258064516129</v>
          </cell>
          <cell r="U400">
            <v>2.9666666666666668</v>
          </cell>
          <cell r="V400">
            <v>2.6774193548387095</v>
          </cell>
          <cell r="W400">
            <v>2.8064516129032255</v>
          </cell>
          <cell r="X400">
            <v>2.6896551724137931</v>
          </cell>
          <cell r="Y400">
            <v>2.6451612903225805</v>
          </cell>
          <cell r="Z400">
            <v>2.9666666666666659</v>
          </cell>
          <cell r="AA400">
            <v>2.838709677419355</v>
          </cell>
          <cell r="AB400">
            <v>3</v>
          </cell>
          <cell r="AC400">
            <v>2.8064516129032255</v>
          </cell>
          <cell r="AD400">
            <v>2.806451612903226</v>
          </cell>
          <cell r="AE400">
            <v>2.6</v>
          </cell>
          <cell r="AF400">
            <v>3.870967741935484</v>
          </cell>
          <cell r="AG400">
            <v>4.1333333333333329</v>
          </cell>
          <cell r="AH400">
            <v>2.806451612903226</v>
          </cell>
          <cell r="AI400">
            <v>2.8064516129032255</v>
          </cell>
          <cell r="AJ400">
            <v>2.3928571428571428</v>
          </cell>
          <cell r="AK400">
            <v>2.645161290322581</v>
          </cell>
          <cell r="AL400">
            <v>2.5333333333333337</v>
          </cell>
          <cell r="AM400">
            <v>2.6451612903225801</v>
          </cell>
          <cell r="AN400">
            <v>4.1333333333333337</v>
          </cell>
          <cell r="AO400">
            <v>3</v>
          </cell>
          <cell r="AP400">
            <v>2.774193548387097</v>
          </cell>
          <cell r="AQ400">
            <v>2.9666666666666668</v>
          </cell>
          <cell r="AR400">
            <v>3.6129032258064515</v>
          </cell>
          <cell r="AS400">
            <v>2.8333333333333335</v>
          </cell>
          <cell r="AT400">
            <v>2.5806451612903225</v>
          </cell>
          <cell r="AU400">
            <v>3</v>
          </cell>
          <cell r="AV400">
            <v>2.8571428571428572</v>
          </cell>
          <cell r="AW400">
            <v>2.5161290322580645</v>
          </cell>
          <cell r="AX400">
            <v>2.7666666666666666</v>
          </cell>
          <cell r="AY400">
            <v>2.6774193548387095</v>
          </cell>
          <cell r="AZ400">
            <v>2.666666666666667</v>
          </cell>
        </row>
        <row r="401">
          <cell r="C401" t="str">
            <v>Gandara / Springfield / 25 Moorland 6</v>
          </cell>
          <cell r="D401" t="str">
            <v>Worcester West Area Office</v>
          </cell>
          <cell r="P401">
            <v>1</v>
          </cell>
        </row>
        <row r="402">
          <cell r="C402" t="str">
            <v>Gandara / Springfield / 353 MapleSt 1</v>
          </cell>
          <cell r="D402" t="str">
            <v>Ctr Human Dev (PAS West)</v>
          </cell>
          <cell r="AY402">
            <v>0.16129032258064516</v>
          </cell>
          <cell r="AZ402">
            <v>1</v>
          </cell>
        </row>
        <row r="403">
          <cell r="C403" t="str">
            <v>Gandara / Springfield / 353 MapleSt 2</v>
          </cell>
          <cell r="D403" t="str">
            <v>Greenfield Area Office</v>
          </cell>
          <cell r="J403">
            <v>1.8387096774193548</v>
          </cell>
          <cell r="K403">
            <v>2.2903225806451615</v>
          </cell>
          <cell r="L403">
            <v>1.9642857142857144</v>
          </cell>
          <cell r="M403">
            <v>0.4838709677419355</v>
          </cell>
          <cell r="N403">
            <v>0.8666666666666667</v>
          </cell>
          <cell r="O403">
            <v>6.4516129032258063E-2</v>
          </cell>
          <cell r="Q403">
            <v>3.2258064516129031E-2</v>
          </cell>
          <cell r="R403">
            <v>0.80645161290322576</v>
          </cell>
          <cell r="S403">
            <v>0.4</v>
          </cell>
          <cell r="AL403">
            <v>3.3333333333333333E-2</v>
          </cell>
          <cell r="AT403">
            <v>9.6774193548387094E-2</v>
          </cell>
        </row>
        <row r="404">
          <cell r="C404" t="str">
            <v>Gandara / Springfield / 353 MapleSt 3</v>
          </cell>
          <cell r="D404" t="str">
            <v>Holyoke Area Office</v>
          </cell>
          <cell r="S404">
            <v>0.8666666666666667</v>
          </cell>
          <cell r="T404">
            <v>0.45161290322580644</v>
          </cell>
          <cell r="U404">
            <v>0.33333333333333331</v>
          </cell>
          <cell r="V404">
            <v>0.19354838709677419</v>
          </cell>
          <cell r="AA404">
            <v>0.29032258064516131</v>
          </cell>
          <cell r="AB404">
            <v>0.26666666666666666</v>
          </cell>
          <cell r="AF404">
            <v>3.2258064516129031E-2</v>
          </cell>
          <cell r="AI404">
            <v>0.5161290322580645</v>
          </cell>
          <cell r="AJ404">
            <v>0.75</v>
          </cell>
          <cell r="AK404">
            <v>1</v>
          </cell>
          <cell r="AL404">
            <v>0.53333333333333333</v>
          </cell>
          <cell r="AR404">
            <v>1</v>
          </cell>
          <cell r="AS404">
            <v>1.5666666666666669</v>
          </cell>
          <cell r="AT404">
            <v>0.64516129032258063</v>
          </cell>
          <cell r="AX404">
            <v>0.5</v>
          </cell>
          <cell r="AY404">
            <v>0.22580645161290322</v>
          </cell>
          <cell r="AZ404">
            <v>0.2</v>
          </cell>
        </row>
        <row r="405">
          <cell r="C405" t="str">
            <v>Gandara / Springfield / 353 MapleSt 4</v>
          </cell>
          <cell r="D405" t="str">
            <v>Robert Van Wart Area Office</v>
          </cell>
          <cell r="I405">
            <v>3.1666666666666665</v>
          </cell>
          <cell r="J405">
            <v>3.8387096774193545</v>
          </cell>
          <cell r="K405">
            <v>3.67741935483871</v>
          </cell>
          <cell r="L405">
            <v>3.2857142857142856</v>
          </cell>
          <cell r="M405">
            <v>2.290322580645161</v>
          </cell>
          <cell r="N405">
            <v>3.5</v>
          </cell>
          <cell r="O405">
            <v>3.903225806451613</v>
          </cell>
          <cell r="P405">
            <v>5.533333333333335</v>
          </cell>
          <cell r="Q405">
            <v>6.580645161290323</v>
          </cell>
          <cell r="R405">
            <v>4.67741935483871</v>
          </cell>
          <cell r="S405">
            <v>4.4666666666666668</v>
          </cell>
          <cell r="T405">
            <v>5.419354838709677</v>
          </cell>
          <cell r="U405">
            <v>5.4666666666666659</v>
          </cell>
          <cell r="V405">
            <v>4.4516129032258061</v>
          </cell>
          <cell r="W405">
            <v>5.4516129032258061</v>
          </cell>
          <cell r="X405">
            <v>5.8965517241379306</v>
          </cell>
          <cell r="Y405">
            <v>5.7096774193548381</v>
          </cell>
          <cell r="Z405">
            <v>6.1</v>
          </cell>
          <cell r="AA405">
            <v>5.9354838709677411</v>
          </cell>
          <cell r="AB405">
            <v>5.8666666666666663</v>
          </cell>
          <cell r="AC405">
            <v>6</v>
          </cell>
          <cell r="AD405">
            <v>5.5161290322580632</v>
          </cell>
          <cell r="AE405">
            <v>5.6333333333333329</v>
          </cell>
          <cell r="AF405">
            <v>6</v>
          </cell>
          <cell r="AG405">
            <v>6</v>
          </cell>
          <cell r="AH405">
            <v>6</v>
          </cell>
          <cell r="AI405">
            <v>5</v>
          </cell>
          <cell r="AJ405">
            <v>4.6428571428571423</v>
          </cell>
          <cell r="AK405">
            <v>4.806451612903226</v>
          </cell>
          <cell r="AL405">
            <v>5.2666666666666666</v>
          </cell>
          <cell r="AM405">
            <v>5.935483870967742</v>
          </cell>
          <cell r="AN405">
            <v>5.9666666666666659</v>
          </cell>
          <cell r="AO405">
            <v>6</v>
          </cell>
          <cell r="AP405">
            <v>5.967741935483871</v>
          </cell>
          <cell r="AQ405">
            <v>5.9333333333333327</v>
          </cell>
          <cell r="AR405">
            <v>4.903225806451613</v>
          </cell>
          <cell r="AS405">
            <v>4.7333333333333334</v>
          </cell>
          <cell r="AT405">
            <v>5.2580645161290329</v>
          </cell>
          <cell r="AU405">
            <v>4.5483870967741931</v>
          </cell>
          <cell r="AV405">
            <v>5.5357142857142856</v>
          </cell>
          <cell r="AW405">
            <v>6.225806451612903</v>
          </cell>
          <cell r="AX405">
            <v>6.8666666666666663</v>
          </cell>
          <cell r="AY405">
            <v>6.258064516129032</v>
          </cell>
          <cell r="AZ405">
            <v>6.666666666666667</v>
          </cell>
        </row>
        <row r="406">
          <cell r="C406" t="str">
            <v>Gandara / Springfield / 353 MapleSt 5</v>
          </cell>
          <cell r="D406" t="str">
            <v>Springfield Area Office</v>
          </cell>
          <cell r="I406">
            <v>2.0333333333333332</v>
          </cell>
          <cell r="J406">
            <v>3.258064516129032</v>
          </cell>
          <cell r="K406">
            <v>4.9354838709677411</v>
          </cell>
          <cell r="L406">
            <v>4.1071428571428568</v>
          </cell>
          <cell r="M406">
            <v>4.67741935483871</v>
          </cell>
          <cell r="N406">
            <v>6.5333333333333341</v>
          </cell>
          <cell r="O406">
            <v>6.7096774193548363</v>
          </cell>
          <cell r="P406">
            <v>7.7666666666666675</v>
          </cell>
          <cell r="Q406">
            <v>7</v>
          </cell>
          <cell r="R406">
            <v>8.5483870967741922</v>
          </cell>
          <cell r="S406">
            <v>8.9</v>
          </cell>
          <cell r="T406">
            <v>8.9677419354838719</v>
          </cell>
          <cell r="U406">
            <v>8.8666666666666671</v>
          </cell>
          <cell r="V406">
            <v>6.2580645161290329</v>
          </cell>
          <cell r="W406">
            <v>7.32258064516129</v>
          </cell>
          <cell r="X406">
            <v>8.4137931034482758</v>
          </cell>
          <cell r="Y406">
            <v>8.8387096774193541</v>
          </cell>
          <cell r="Z406">
            <v>8.8000000000000007</v>
          </cell>
          <cell r="AA406">
            <v>8.7096774193548399</v>
          </cell>
          <cell r="AB406">
            <v>8.8000000000000007</v>
          </cell>
          <cell r="AC406">
            <v>7.967741935483871</v>
          </cell>
          <cell r="AD406">
            <v>8.806451612903226</v>
          </cell>
          <cell r="AE406">
            <v>8.9333333333333336</v>
          </cell>
          <cell r="AF406">
            <v>8.2258064516129039</v>
          </cell>
          <cell r="AG406">
            <v>7.9333333333333336</v>
          </cell>
          <cell r="AH406">
            <v>8.6451612903225801</v>
          </cell>
          <cell r="AI406">
            <v>8.67741935483871</v>
          </cell>
          <cell r="AJ406">
            <v>8.9285714285714306</v>
          </cell>
          <cell r="AK406">
            <v>8.6774193548387082</v>
          </cell>
          <cell r="AL406">
            <v>8.9333333333333336</v>
          </cell>
          <cell r="AM406">
            <v>8.5483870967741922</v>
          </cell>
          <cell r="AN406">
            <v>8.9</v>
          </cell>
          <cell r="AO406">
            <v>8.9677419354838719</v>
          </cell>
          <cell r="AP406">
            <v>8.9032258064516139</v>
          </cell>
          <cell r="AQ406">
            <v>8.4</v>
          </cell>
          <cell r="AR406">
            <v>8.67741935483871</v>
          </cell>
          <cell r="AS406">
            <v>7.5333333333333323</v>
          </cell>
          <cell r="AT406">
            <v>7.2258064516129039</v>
          </cell>
          <cell r="AU406">
            <v>8.3548387096774182</v>
          </cell>
          <cell r="AV406">
            <v>8.8928571428571423</v>
          </cell>
          <cell r="AW406">
            <v>10.06451612903226</v>
          </cell>
          <cell r="AX406">
            <v>10.366666666666667</v>
          </cell>
          <cell r="AY406">
            <v>10.193548387096772</v>
          </cell>
          <cell r="AZ406">
            <v>9.6333333333333329</v>
          </cell>
        </row>
        <row r="407">
          <cell r="C407" t="str">
            <v>Gandara / Springfield / 353 MapleSt 6</v>
          </cell>
          <cell r="D407" t="str">
            <v>(blank)</v>
          </cell>
          <cell r="AC407">
            <v>1</v>
          </cell>
        </row>
        <row r="408">
          <cell r="C408" t="str">
            <v>GermaineLawrence/Arlington/18Clarem 1</v>
          </cell>
          <cell r="D408" t="str">
            <v>Arlington Area Office</v>
          </cell>
          <cell r="G408">
            <v>1.9666666666666666</v>
          </cell>
          <cell r="H408">
            <v>1.8709677419354838</v>
          </cell>
          <cell r="I408">
            <v>1.4666666666666668</v>
          </cell>
          <cell r="J408">
            <v>1.7741935483870968</v>
          </cell>
          <cell r="K408">
            <v>1.7419354838709677</v>
          </cell>
          <cell r="L408">
            <v>2</v>
          </cell>
          <cell r="M408">
            <v>1.935483870967742</v>
          </cell>
          <cell r="N408">
            <v>2.333333333333333</v>
          </cell>
          <cell r="O408">
            <v>2</v>
          </cell>
          <cell r="P408">
            <v>1.7666666666666666</v>
          </cell>
          <cell r="Q408">
            <v>2</v>
          </cell>
          <cell r="R408">
            <v>2</v>
          </cell>
          <cell r="S408">
            <v>1.3333333333333335</v>
          </cell>
          <cell r="T408">
            <v>1.870967741935484</v>
          </cell>
          <cell r="U408">
            <v>1</v>
          </cell>
          <cell r="V408">
            <v>1.5483870967741935</v>
          </cell>
          <cell r="W408">
            <v>1.7096774193548387</v>
          </cell>
          <cell r="X408">
            <v>1.6896551724137931</v>
          </cell>
          <cell r="Y408">
            <v>2.5806451612903225</v>
          </cell>
          <cell r="Z408">
            <v>1.7666666666666668</v>
          </cell>
          <cell r="AA408">
            <v>1.6451612903225805</v>
          </cell>
          <cell r="AB408">
            <v>1.9666666666666668</v>
          </cell>
          <cell r="AC408">
            <v>1.7096774193548387</v>
          </cell>
          <cell r="AD408">
            <v>1.7419354838709677</v>
          </cell>
          <cell r="AE408">
            <v>1.6666666666666667</v>
          </cell>
          <cell r="AF408">
            <v>0.967741935483871</v>
          </cell>
          <cell r="AG408">
            <v>2</v>
          </cell>
          <cell r="AH408">
            <v>1.8387096774193545</v>
          </cell>
          <cell r="AI408">
            <v>2.5161290322580645</v>
          </cell>
          <cell r="AJ408">
            <v>1.7857142857142856</v>
          </cell>
          <cell r="AK408">
            <v>1.903225806451613</v>
          </cell>
          <cell r="AL408">
            <v>1.9333333333333331</v>
          </cell>
          <cell r="AM408">
            <v>2</v>
          </cell>
          <cell r="AN408">
            <v>1.9333333333333333</v>
          </cell>
          <cell r="AO408">
            <v>2.032258064516129</v>
          </cell>
          <cell r="AP408">
            <v>2.354838709677419</v>
          </cell>
          <cell r="AQ408">
            <v>2</v>
          </cell>
          <cell r="AR408">
            <v>1.967741935483871</v>
          </cell>
          <cell r="AS408">
            <v>1.8</v>
          </cell>
          <cell r="AT408">
            <v>2.7096774193548385</v>
          </cell>
          <cell r="AU408">
            <v>2.032258064516129</v>
          </cell>
          <cell r="AV408">
            <v>2.2142857142857144</v>
          </cell>
          <cell r="AW408">
            <v>2.032258064516129</v>
          </cell>
          <cell r="AX408">
            <v>2.1</v>
          </cell>
          <cell r="AY408">
            <v>1.8387096774193548</v>
          </cell>
          <cell r="AZ408">
            <v>2.0666666666666669</v>
          </cell>
        </row>
        <row r="409">
          <cell r="C409" t="str">
            <v>GermaineLawrence/Arlington/18Clarem 2</v>
          </cell>
          <cell r="D409" t="str">
            <v>Cambridge Area Office</v>
          </cell>
          <cell r="G409">
            <v>1</v>
          </cell>
          <cell r="H409">
            <v>0.93548387096774188</v>
          </cell>
          <cell r="I409">
            <v>0.96666666666666667</v>
          </cell>
          <cell r="J409">
            <v>0.54838709677419351</v>
          </cell>
          <cell r="K409">
            <v>0.77419354838709675</v>
          </cell>
          <cell r="L409">
            <v>1.2857142857142858</v>
          </cell>
          <cell r="M409">
            <v>1</v>
          </cell>
          <cell r="N409">
            <v>1</v>
          </cell>
          <cell r="O409">
            <v>0.83870967741935487</v>
          </cell>
          <cell r="P409">
            <v>1</v>
          </cell>
          <cell r="Q409">
            <v>0.61290322580645162</v>
          </cell>
          <cell r="R409">
            <v>1</v>
          </cell>
          <cell r="S409">
            <v>1</v>
          </cell>
          <cell r="T409">
            <v>0.61290322580645162</v>
          </cell>
          <cell r="U409">
            <v>0.96666666666666667</v>
          </cell>
          <cell r="V409">
            <v>0.58064516129032262</v>
          </cell>
          <cell r="W409">
            <v>1</v>
          </cell>
          <cell r="X409">
            <v>1</v>
          </cell>
          <cell r="Y409">
            <v>0.93548387096774188</v>
          </cell>
          <cell r="Z409">
            <v>1</v>
          </cell>
          <cell r="AA409">
            <v>0.80645161290322576</v>
          </cell>
          <cell r="AB409">
            <v>1</v>
          </cell>
          <cell r="AC409">
            <v>1.2580645161290323</v>
          </cell>
          <cell r="AD409">
            <v>0.4838709677419355</v>
          </cell>
          <cell r="AE409">
            <v>1</v>
          </cell>
          <cell r="AF409">
            <v>0.83870967741935476</v>
          </cell>
          <cell r="AG409">
            <v>1</v>
          </cell>
          <cell r="AH409">
            <v>1.3225806451612903</v>
          </cell>
          <cell r="AI409">
            <v>0.45161290322580644</v>
          </cell>
          <cell r="AJ409">
            <v>0.21428571428571427</v>
          </cell>
          <cell r="AK409">
            <v>0.83870967741935487</v>
          </cell>
          <cell r="AL409">
            <v>1</v>
          </cell>
          <cell r="AM409">
            <v>1</v>
          </cell>
          <cell r="AN409">
            <v>0.96666666666666667</v>
          </cell>
          <cell r="AO409">
            <v>0.77419354838709675</v>
          </cell>
          <cell r="AP409">
            <v>0.80645161290322576</v>
          </cell>
          <cell r="AR409">
            <v>0.32258064516129031</v>
          </cell>
          <cell r="AS409">
            <v>0.83333333333333326</v>
          </cell>
          <cell r="AT409">
            <v>1</v>
          </cell>
          <cell r="AU409">
            <v>0.16129032258064516</v>
          </cell>
          <cell r="AW409">
            <v>3.2258064516129031E-2</v>
          </cell>
          <cell r="AX409">
            <v>0.56666666666666665</v>
          </cell>
          <cell r="AY409">
            <v>1</v>
          </cell>
          <cell r="AZ409">
            <v>0.93333333333333335</v>
          </cell>
        </row>
        <row r="410">
          <cell r="C410" t="str">
            <v>GermaineLawrence/Arlington/18Clarem 3</v>
          </cell>
          <cell r="D410" t="str">
            <v>Coastal Area Office</v>
          </cell>
          <cell r="J410">
            <v>3.2258064516129031E-2</v>
          </cell>
          <cell r="O410">
            <v>0.64516129032258063</v>
          </cell>
          <cell r="T410">
            <v>9.6774193548387094E-2</v>
          </cell>
          <cell r="U410">
            <v>1</v>
          </cell>
          <cell r="V410">
            <v>0.38709677419354838</v>
          </cell>
          <cell r="X410">
            <v>6.8965517241379309E-2</v>
          </cell>
          <cell r="AD410">
            <v>0.19354838709677419</v>
          </cell>
        </row>
        <row r="411">
          <cell r="C411" t="str">
            <v>GermaineLawrence/Arlington/18Clarem 4</v>
          </cell>
          <cell r="D411" t="str">
            <v>Dimock St. Area Office</v>
          </cell>
          <cell r="N411">
            <v>0.6</v>
          </cell>
          <cell r="O411">
            <v>1.4193548387096775</v>
          </cell>
          <cell r="P411">
            <v>2.1</v>
          </cell>
          <cell r="Q411">
            <v>1.9032258064516128</v>
          </cell>
          <cell r="R411">
            <v>0.61290322580645162</v>
          </cell>
          <cell r="S411">
            <v>2.2333333333333334</v>
          </cell>
          <cell r="T411">
            <v>2.6451612903225805</v>
          </cell>
          <cell r="U411">
            <v>0.8666666666666667</v>
          </cell>
          <cell r="V411">
            <v>1.6451612903225805</v>
          </cell>
          <cell r="W411">
            <v>1.8387096774193548</v>
          </cell>
          <cell r="X411">
            <v>1.4827586206896552</v>
          </cell>
          <cell r="Y411">
            <v>1.8064516129032258</v>
          </cell>
          <cell r="Z411">
            <v>1.7</v>
          </cell>
          <cell r="AA411">
            <v>2</v>
          </cell>
          <cell r="AB411">
            <v>1.2666666666666666</v>
          </cell>
          <cell r="AC411">
            <v>2</v>
          </cell>
          <cell r="AD411">
            <v>0.16129032258064516</v>
          </cell>
          <cell r="AE411">
            <v>0.5</v>
          </cell>
          <cell r="AF411">
            <v>0.4838709677419355</v>
          </cell>
          <cell r="AG411">
            <v>1</v>
          </cell>
          <cell r="AH411">
            <v>1.193548387096774</v>
          </cell>
          <cell r="AI411">
            <v>0.83870967741935487</v>
          </cell>
          <cell r="AK411">
            <v>0.64516129032258063</v>
          </cell>
          <cell r="AL411">
            <v>0.96666666666666667</v>
          </cell>
          <cell r="AM411">
            <v>0.54838709677419351</v>
          </cell>
          <cell r="AP411">
            <v>0.38709677419354838</v>
          </cell>
          <cell r="AQ411">
            <v>0.1</v>
          </cell>
          <cell r="AR411">
            <v>1</v>
          </cell>
          <cell r="AS411">
            <v>6.6666666666666666E-2</v>
          </cell>
          <cell r="AV411">
            <v>0.21428571428571427</v>
          </cell>
          <cell r="AW411">
            <v>0.32258064516129031</v>
          </cell>
          <cell r="AX411">
            <v>1.5</v>
          </cell>
          <cell r="AY411">
            <v>2.838709677419355</v>
          </cell>
          <cell r="AZ411">
            <v>0.6333333333333333</v>
          </cell>
        </row>
        <row r="412">
          <cell r="C412" t="str">
            <v>GermaineLawrence/Arlington/18Clarem 5</v>
          </cell>
          <cell r="D412" t="str">
            <v>Framingham Area Office</v>
          </cell>
          <cell r="G412">
            <v>1</v>
          </cell>
          <cell r="H412">
            <v>1</v>
          </cell>
          <cell r="I412">
            <v>1</v>
          </cell>
          <cell r="J412">
            <v>0.967741935483871</v>
          </cell>
          <cell r="K412">
            <v>1</v>
          </cell>
          <cell r="L412">
            <v>0.4285714285714286</v>
          </cell>
          <cell r="M412">
            <v>0.83870967741935476</v>
          </cell>
          <cell r="N412">
            <v>0.96666666666666667</v>
          </cell>
          <cell r="O412">
            <v>0.77419354838709675</v>
          </cell>
          <cell r="P412">
            <v>1</v>
          </cell>
          <cell r="Q412">
            <v>1</v>
          </cell>
          <cell r="R412">
            <v>0.80645161290322576</v>
          </cell>
          <cell r="S412">
            <v>0.8666666666666667</v>
          </cell>
          <cell r="T412">
            <v>1</v>
          </cell>
          <cell r="U412">
            <v>0.96666666666666656</v>
          </cell>
          <cell r="V412">
            <v>1.096774193548387</v>
          </cell>
          <cell r="W412">
            <v>1</v>
          </cell>
          <cell r="X412">
            <v>1.103448275862069</v>
          </cell>
          <cell r="Y412">
            <v>1.129032258064516</v>
          </cell>
          <cell r="Z412">
            <v>1.5666666666666667</v>
          </cell>
          <cell r="AA412">
            <v>0.87096774193548387</v>
          </cell>
          <cell r="AB412">
            <v>1</v>
          </cell>
          <cell r="AC412">
            <v>1</v>
          </cell>
          <cell r="AD412">
            <v>0.93548387096774188</v>
          </cell>
          <cell r="AE412">
            <v>0.93333333333333335</v>
          </cell>
          <cell r="AF412">
            <v>0.58064516129032262</v>
          </cell>
          <cell r="AG412">
            <v>1</v>
          </cell>
          <cell r="AH412">
            <v>0.80645161290322576</v>
          </cell>
          <cell r="AJ412">
            <v>0.67857142857142849</v>
          </cell>
          <cell r="AK412">
            <v>1.1612903225806452</v>
          </cell>
          <cell r="AL412">
            <v>0.9</v>
          </cell>
          <cell r="AM412">
            <v>1</v>
          </cell>
          <cell r="AN412">
            <v>1</v>
          </cell>
          <cell r="AO412">
            <v>0.80645161290322576</v>
          </cell>
          <cell r="AP412">
            <v>0.87096774193548387</v>
          </cell>
          <cell r="AQ412">
            <v>0.7</v>
          </cell>
          <cell r="AS412">
            <v>1.0333333333333334</v>
          </cell>
          <cell r="AT412">
            <v>1.1612903225806452</v>
          </cell>
          <cell r="AU412">
            <v>1</v>
          </cell>
          <cell r="AV412">
            <v>1.25</v>
          </cell>
          <cell r="AW412">
            <v>1.4838709677419355</v>
          </cell>
          <cell r="AX412">
            <v>1</v>
          </cell>
          <cell r="AY412">
            <v>1</v>
          </cell>
          <cell r="AZ412">
            <v>1</v>
          </cell>
        </row>
        <row r="413">
          <cell r="C413" t="str">
            <v>GermaineLawrence/Arlington/18Clarem 6</v>
          </cell>
          <cell r="D413" t="str">
            <v>Harbor Area Office</v>
          </cell>
          <cell r="G413">
            <v>0.46666666666666667</v>
          </cell>
          <cell r="H413">
            <v>1</v>
          </cell>
          <cell r="I413">
            <v>0.5</v>
          </cell>
          <cell r="K413">
            <v>0.90322580645161288</v>
          </cell>
          <cell r="L413">
            <v>0.9642857142857143</v>
          </cell>
          <cell r="M413">
            <v>1</v>
          </cell>
          <cell r="N413">
            <v>0.13333333333333333</v>
          </cell>
          <cell r="O413">
            <v>0.67741935483870963</v>
          </cell>
          <cell r="P413">
            <v>1.6</v>
          </cell>
          <cell r="R413">
            <v>0.90322580645161288</v>
          </cell>
          <cell r="S413">
            <v>0.2</v>
          </cell>
          <cell r="T413">
            <v>1.4838709677419355</v>
          </cell>
          <cell r="U413">
            <v>2.9666666666666668</v>
          </cell>
          <cell r="V413">
            <v>2.5806451612903225</v>
          </cell>
          <cell r="W413">
            <v>1.4193548387096775</v>
          </cell>
          <cell r="X413">
            <v>1</v>
          </cell>
          <cell r="Y413">
            <v>1.4838709677419355</v>
          </cell>
          <cell r="Z413">
            <v>3</v>
          </cell>
          <cell r="AA413">
            <v>2.032258064516129</v>
          </cell>
          <cell r="AB413">
            <v>1.0666666666666667</v>
          </cell>
          <cell r="AC413">
            <v>0.45161290322580644</v>
          </cell>
          <cell r="AD413">
            <v>0.80645161290322576</v>
          </cell>
          <cell r="AE413">
            <v>0.7</v>
          </cell>
          <cell r="AG413">
            <v>0.2</v>
          </cell>
          <cell r="AH413">
            <v>0.96774193548387089</v>
          </cell>
          <cell r="AI413">
            <v>1.838709677419355</v>
          </cell>
          <cell r="AJ413">
            <v>2</v>
          </cell>
          <cell r="AK413">
            <v>1.6129032258064515</v>
          </cell>
          <cell r="AL413">
            <v>2.166666666666667</v>
          </cell>
          <cell r="AM413">
            <v>1.935483870967742</v>
          </cell>
          <cell r="AN413">
            <v>1.6666666666666665</v>
          </cell>
          <cell r="AO413">
            <v>1.935483870967742</v>
          </cell>
          <cell r="AP413">
            <v>1.129032258064516</v>
          </cell>
          <cell r="AQ413">
            <v>1.8</v>
          </cell>
          <cell r="AR413">
            <v>1.096774193548387</v>
          </cell>
          <cell r="AS413">
            <v>1.5</v>
          </cell>
          <cell r="AT413">
            <v>1.935483870967742</v>
          </cell>
          <cell r="AU413">
            <v>1.9677419354838708</v>
          </cell>
          <cell r="AV413">
            <v>1.25</v>
          </cell>
          <cell r="AW413">
            <v>1.7096774193548385</v>
          </cell>
          <cell r="AX413">
            <v>1</v>
          </cell>
          <cell r="AY413">
            <v>6.4516129032258063E-2</v>
          </cell>
          <cell r="AZ413">
            <v>2.4333333333333331</v>
          </cell>
        </row>
        <row r="414">
          <cell r="C414" t="str">
            <v>GermaineLawrence/Arlington/18Clarem 7</v>
          </cell>
          <cell r="D414" t="str">
            <v>Hyde Park Area Office</v>
          </cell>
          <cell r="I414">
            <v>0.6</v>
          </cell>
          <cell r="J414">
            <v>0.67741935483870963</v>
          </cell>
          <cell r="K414">
            <v>0.90322580645161288</v>
          </cell>
          <cell r="N414">
            <v>0.46666666666666667</v>
          </cell>
          <cell r="O414">
            <v>2.290322580645161</v>
          </cell>
          <cell r="P414">
            <v>0.36666666666666664</v>
          </cell>
          <cell r="Q414">
            <v>2.225806451612903</v>
          </cell>
          <cell r="R414">
            <v>1.8064516129032258</v>
          </cell>
          <cell r="S414">
            <v>0.23333333333333334</v>
          </cell>
          <cell r="T414">
            <v>1</v>
          </cell>
          <cell r="U414">
            <v>0.16666666666666666</v>
          </cell>
          <cell r="V414">
            <v>0.58064516129032262</v>
          </cell>
          <cell r="W414">
            <v>1.4516129032258065</v>
          </cell>
          <cell r="X414">
            <v>1.6551724137931034</v>
          </cell>
          <cell r="Y414">
            <v>0.4838709677419355</v>
          </cell>
          <cell r="Z414">
            <v>0.8</v>
          </cell>
          <cell r="AA414">
            <v>0.77419354838709675</v>
          </cell>
          <cell r="AB414">
            <v>0.73333333333333328</v>
          </cell>
          <cell r="AC414">
            <v>0.25806451612903225</v>
          </cell>
          <cell r="AD414">
            <v>2</v>
          </cell>
          <cell r="AE414">
            <v>0.83333333333333326</v>
          </cell>
          <cell r="AF414">
            <v>2</v>
          </cell>
          <cell r="AG414">
            <v>2.4</v>
          </cell>
          <cell r="AH414">
            <v>0.87096774193548376</v>
          </cell>
          <cell r="AJ414">
            <v>0.25</v>
          </cell>
          <cell r="AK414">
            <v>9.6774193548387094E-2</v>
          </cell>
          <cell r="AL414">
            <v>0.53333333333333333</v>
          </cell>
          <cell r="AM414">
            <v>1.2258064516129032</v>
          </cell>
          <cell r="AN414">
            <v>1.7333333333333334</v>
          </cell>
          <cell r="AO414">
            <v>2.935483870967742</v>
          </cell>
          <cell r="AP414">
            <v>0.74193548387096775</v>
          </cell>
          <cell r="AQ414">
            <v>0.96666666666666667</v>
          </cell>
          <cell r="AR414">
            <v>1</v>
          </cell>
          <cell r="AS414">
            <v>1.9666666666666668</v>
          </cell>
          <cell r="AT414">
            <v>1.064516129032258</v>
          </cell>
          <cell r="AU414">
            <v>0.80645161290322576</v>
          </cell>
          <cell r="AV414">
            <v>2.1071428571428572</v>
          </cell>
          <cell r="AW414">
            <v>1.903225806451613</v>
          </cell>
          <cell r="AX414">
            <v>1.3</v>
          </cell>
          <cell r="AY414">
            <v>2</v>
          </cell>
          <cell r="AZ414">
            <v>1</v>
          </cell>
        </row>
        <row r="415">
          <cell r="C415" t="str">
            <v>GermaineLawrence/Arlington/18Clarem 8</v>
          </cell>
          <cell r="D415" t="str">
            <v>Lawrence Area Office</v>
          </cell>
          <cell r="AQ415">
            <v>0.3</v>
          </cell>
          <cell r="AR415">
            <v>1</v>
          </cell>
        </row>
        <row r="416">
          <cell r="C416" t="str">
            <v>GermaineLawrence/Arlington/18Clarem 9</v>
          </cell>
          <cell r="D416" t="str">
            <v>Lynn Area Office</v>
          </cell>
          <cell r="Z416">
            <v>0.4</v>
          </cell>
          <cell r="AA416">
            <v>0.12903225806451613</v>
          </cell>
          <cell r="AD416">
            <v>9.6774193548387094E-2</v>
          </cell>
          <cell r="AH416">
            <v>0.70967741935483875</v>
          </cell>
          <cell r="AI416">
            <v>0.93548387096774199</v>
          </cell>
          <cell r="AJ416">
            <v>1</v>
          </cell>
          <cell r="AK416">
            <v>0.35483870967741937</v>
          </cell>
        </row>
        <row r="417">
          <cell r="C417" t="str">
            <v>GermaineLawrence/Arlington/18Clarem 10</v>
          </cell>
          <cell r="D417" t="str">
            <v>Malden Area Office</v>
          </cell>
          <cell r="G417">
            <v>2.7666666666666666</v>
          </cell>
          <cell r="H417">
            <v>2.612903225806452</v>
          </cell>
          <cell r="I417">
            <v>2.666666666666667</v>
          </cell>
          <cell r="J417">
            <v>2.709677419354839</v>
          </cell>
          <cell r="K417">
            <v>3.161290322580645</v>
          </cell>
          <cell r="L417">
            <v>2.4285714285714288</v>
          </cell>
          <cell r="M417">
            <v>3.193548387096774</v>
          </cell>
          <cell r="N417">
            <v>2.3666666666666667</v>
          </cell>
          <cell r="O417">
            <v>1.4193548387096773</v>
          </cell>
          <cell r="P417">
            <v>3.2</v>
          </cell>
          <cell r="Q417">
            <v>3</v>
          </cell>
          <cell r="R417">
            <v>2.7741935483870965</v>
          </cell>
          <cell r="S417">
            <v>1.7333333333333334</v>
          </cell>
          <cell r="T417">
            <v>2.967741935483871</v>
          </cell>
          <cell r="U417">
            <v>2.4666666666666668</v>
          </cell>
          <cell r="V417">
            <v>2.4516129032258065</v>
          </cell>
          <cell r="W417">
            <v>2.5161290322580645</v>
          </cell>
          <cell r="X417">
            <v>2.7586206896551726</v>
          </cell>
          <cell r="Y417">
            <v>1.4193548387096775</v>
          </cell>
          <cell r="Z417">
            <v>1.9666666666666668</v>
          </cell>
          <cell r="AA417">
            <v>2.032258064516129</v>
          </cell>
          <cell r="AB417">
            <v>2.5</v>
          </cell>
          <cell r="AC417">
            <v>2.8064516129032255</v>
          </cell>
          <cell r="AD417">
            <v>2.935483870967742</v>
          </cell>
          <cell r="AE417">
            <v>2.1</v>
          </cell>
          <cell r="AF417">
            <v>2.5161290322580645</v>
          </cell>
          <cell r="AG417">
            <v>2.6333333333333337</v>
          </cell>
          <cell r="AH417">
            <v>0.77419354838709675</v>
          </cell>
          <cell r="AI417">
            <v>1.5806451612903225</v>
          </cell>
          <cell r="AJ417">
            <v>2</v>
          </cell>
          <cell r="AK417">
            <v>2.3225806451612905</v>
          </cell>
          <cell r="AL417">
            <v>3</v>
          </cell>
          <cell r="AM417">
            <v>2.774193548387097</v>
          </cell>
          <cell r="AN417">
            <v>2.9333333333333336</v>
          </cell>
          <cell r="AO417">
            <v>2.6774193548387095</v>
          </cell>
          <cell r="AP417">
            <v>2.096774193548387</v>
          </cell>
          <cell r="AQ417">
            <v>2.7666666666666666</v>
          </cell>
          <cell r="AR417">
            <v>2.5483870967741935</v>
          </cell>
          <cell r="AS417">
            <v>2.4</v>
          </cell>
          <cell r="AT417">
            <v>1.8064516129032258</v>
          </cell>
          <cell r="AU417">
            <v>2.6129032258064515</v>
          </cell>
          <cell r="AV417">
            <v>2.6785714285714284</v>
          </cell>
          <cell r="AW417">
            <v>2.709677419354839</v>
          </cell>
          <cell r="AX417">
            <v>2.8666666666666667</v>
          </cell>
          <cell r="AY417">
            <v>2.4838709677419355</v>
          </cell>
          <cell r="AZ417">
            <v>2.9</v>
          </cell>
        </row>
        <row r="418">
          <cell r="C418" t="str">
            <v>GermaineLawrence/Arlington/18Clarem 11</v>
          </cell>
          <cell r="D418" t="str">
            <v>Park St. Area Office</v>
          </cell>
          <cell r="G418">
            <v>0.43333333333333335</v>
          </cell>
          <cell r="H418">
            <v>1</v>
          </cell>
          <cell r="I418">
            <v>0.66666666666666674</v>
          </cell>
          <cell r="J418">
            <v>0.58064516129032262</v>
          </cell>
          <cell r="K418">
            <v>6.4516129032258063E-2</v>
          </cell>
          <cell r="L418">
            <v>1</v>
          </cell>
          <cell r="M418">
            <v>0.967741935483871</v>
          </cell>
          <cell r="N418">
            <v>1.1666666666666665</v>
          </cell>
          <cell r="O418">
            <v>1.2903225806451613</v>
          </cell>
          <cell r="P418">
            <v>0.8666666666666667</v>
          </cell>
          <cell r="Q418">
            <v>1.3548387096774195</v>
          </cell>
          <cell r="R418">
            <v>1.806451612903226</v>
          </cell>
          <cell r="U418">
            <v>0.5</v>
          </cell>
          <cell r="V418">
            <v>0.12903225806451613</v>
          </cell>
          <cell r="X418">
            <v>1.103448275862069</v>
          </cell>
          <cell r="Y418">
            <v>1.6129032258064515</v>
          </cell>
          <cell r="AB418">
            <v>0.7</v>
          </cell>
          <cell r="AC418">
            <v>2.258064516129032</v>
          </cell>
          <cell r="AD418">
            <v>2.967741935483871</v>
          </cell>
          <cell r="AE418">
            <v>2.5333333333333332</v>
          </cell>
          <cell r="AF418">
            <v>2.354838709677419</v>
          </cell>
          <cell r="AG418">
            <v>0.6333333333333333</v>
          </cell>
          <cell r="AH418">
            <v>0.74193548387096775</v>
          </cell>
          <cell r="AI418">
            <v>2.4516129032258061</v>
          </cell>
          <cell r="AJ418">
            <v>1.6785714285714286</v>
          </cell>
          <cell r="AK418">
            <v>1.967741935483871</v>
          </cell>
          <cell r="AL418">
            <v>1.2666666666666666</v>
          </cell>
          <cell r="AM418">
            <v>2</v>
          </cell>
          <cell r="AN418">
            <v>1.4</v>
          </cell>
          <cell r="AO418">
            <v>0.4838709677419355</v>
          </cell>
          <cell r="AP418">
            <v>1.032258064516129</v>
          </cell>
          <cell r="AQ418">
            <v>1.7666666666666666</v>
          </cell>
          <cell r="AR418">
            <v>2.6129032258064515</v>
          </cell>
          <cell r="AS418">
            <v>1</v>
          </cell>
          <cell r="AT418">
            <v>1.967741935483871</v>
          </cell>
          <cell r="AU418">
            <v>2.7741935483870965</v>
          </cell>
          <cell r="AV418">
            <v>2.2857142857142856</v>
          </cell>
          <cell r="AW418">
            <v>1.2903225806451613</v>
          </cell>
          <cell r="AX418">
            <v>1.0666666666666667</v>
          </cell>
          <cell r="AY418">
            <v>0.93548387096774188</v>
          </cell>
          <cell r="AZ418">
            <v>0.73333333333333339</v>
          </cell>
        </row>
        <row r="419">
          <cell r="C419" t="str">
            <v>GermaineLawrence/Arlington/18Clarem 12</v>
          </cell>
          <cell r="D419" t="str">
            <v>Solutions for Living (PAS Metro)</v>
          </cell>
          <cell r="AA419">
            <v>0.64516129032258063</v>
          </cell>
          <cell r="AB419">
            <v>0.13333333333333333</v>
          </cell>
          <cell r="AJ419">
            <v>7.1428571428571425E-2</v>
          </cell>
          <cell r="AK419">
            <v>1</v>
          </cell>
          <cell r="AL419">
            <v>0.46666666666666667</v>
          </cell>
          <cell r="AO419">
            <v>0.38709677419354838</v>
          </cell>
          <cell r="AP419">
            <v>1</v>
          </cell>
          <cell r="AQ419">
            <v>6.6666666666666666E-2</v>
          </cell>
        </row>
        <row r="420">
          <cell r="C420" t="str">
            <v>GermaineLawrence/Arlington/18Clarem 13</v>
          </cell>
          <cell r="D420" t="str">
            <v>(blank)</v>
          </cell>
          <cell r="Y420">
            <v>3.2258064516129031E-2</v>
          </cell>
        </row>
        <row r="421">
          <cell r="C421" t="str">
            <v>Harbor Schools/ Merrimac /100W.Main 1</v>
          </cell>
          <cell r="D421" t="str">
            <v>Cape Ann Area Office</v>
          </cell>
          <cell r="V421">
            <v>0.16129032258064516</v>
          </cell>
        </row>
        <row r="422">
          <cell r="C422" t="str">
            <v>Harbor Schools/ Merrimac /100W.Main 2</v>
          </cell>
          <cell r="D422" t="str">
            <v>Haverhill Area Office</v>
          </cell>
          <cell r="J422">
            <v>0.16129032258064516</v>
          </cell>
          <cell r="P422">
            <v>0.56666666666666665</v>
          </cell>
          <cell r="Q422">
            <v>0.29032258064516125</v>
          </cell>
          <cell r="W422">
            <v>3.2258064516129031E-2</v>
          </cell>
          <cell r="AI422">
            <v>9.6774193548387094E-2</v>
          </cell>
          <cell r="AW422">
            <v>0.16129032258064516</v>
          </cell>
          <cell r="AX422">
            <v>0.4</v>
          </cell>
          <cell r="AY422">
            <v>3.2258064516129031E-2</v>
          </cell>
        </row>
        <row r="423">
          <cell r="C423" t="str">
            <v>Harbor Schools/ Merrimac /100W.Main 3</v>
          </cell>
          <cell r="D423" t="str">
            <v>Lawrence Area Office</v>
          </cell>
          <cell r="O423">
            <v>6.4516129032258063E-2</v>
          </cell>
          <cell r="R423">
            <v>0.58064516129032262</v>
          </cell>
          <cell r="S423">
            <v>0.3</v>
          </cell>
          <cell r="U423">
            <v>3.3333333333333333E-2</v>
          </cell>
          <cell r="AE423">
            <v>0.23333333333333334</v>
          </cell>
          <cell r="AG423">
            <v>0.33333333333333331</v>
          </cell>
          <cell r="AH423">
            <v>1.193548387096774</v>
          </cell>
          <cell r="AI423">
            <v>1</v>
          </cell>
          <cell r="AJ423">
            <v>1</v>
          </cell>
          <cell r="AK423">
            <v>0.32258064516129031</v>
          </cell>
          <cell r="AQ423">
            <v>3.3333333333333333E-2</v>
          </cell>
          <cell r="AR423">
            <v>0.22580645161290322</v>
          </cell>
          <cell r="AS423">
            <v>0.36666666666666664</v>
          </cell>
          <cell r="AT423">
            <v>0.90322580645161288</v>
          </cell>
          <cell r="AV423">
            <v>0.75</v>
          </cell>
          <cell r="AW423">
            <v>0.35483870967741937</v>
          </cell>
          <cell r="AY423">
            <v>3.2258064516129031E-2</v>
          </cell>
        </row>
        <row r="424">
          <cell r="C424" t="str">
            <v>Harbor Schools/ Merrimac /100W.Main 4</v>
          </cell>
          <cell r="D424" t="str">
            <v>Lowell Area Office</v>
          </cell>
          <cell r="F424">
            <v>0.35483870967741937</v>
          </cell>
          <cell r="G424">
            <v>5.3</v>
          </cell>
          <cell r="H424">
            <v>7.064516129032258</v>
          </cell>
          <cell r="I424">
            <v>7.5</v>
          </cell>
          <cell r="J424">
            <v>6.4838709677419351</v>
          </cell>
          <cell r="K424">
            <v>8.6451612903225801</v>
          </cell>
          <cell r="L424">
            <v>6.5714285714285721</v>
          </cell>
          <cell r="M424">
            <v>9.3225806451612883</v>
          </cell>
          <cell r="N424">
            <v>10.666666666666668</v>
          </cell>
          <cell r="O424">
            <v>11.193548387096774</v>
          </cell>
          <cell r="P424">
            <v>9</v>
          </cell>
          <cell r="Q424">
            <v>10.612903225806452</v>
          </cell>
          <cell r="R424">
            <v>9.870967741935484</v>
          </cell>
          <cell r="S424">
            <v>9.7333333333333343</v>
          </cell>
          <cell r="T424">
            <v>9.3548387096774182</v>
          </cell>
          <cell r="U424">
            <v>10.733333333333334</v>
          </cell>
          <cell r="V424">
            <v>9.612903225806452</v>
          </cell>
          <cell r="W424">
            <v>10.225806451612906</v>
          </cell>
          <cell r="X424">
            <v>10.827586206896553</v>
          </cell>
          <cell r="Y424">
            <v>11.064516129032258</v>
          </cell>
          <cell r="Z424">
            <v>10.9</v>
          </cell>
          <cell r="AA424">
            <v>11.516129032258064</v>
          </cell>
          <cell r="AB424">
            <v>11.533333333333333</v>
          </cell>
          <cell r="AC424">
            <v>11.129032258064516</v>
          </cell>
          <cell r="AD424">
            <v>10.709677419354838</v>
          </cell>
          <cell r="AE424">
            <v>11.233333333333334</v>
          </cell>
          <cell r="AF424">
            <v>11.741935483870968</v>
          </cell>
          <cell r="AG424">
            <v>11.166666666666668</v>
          </cell>
          <cell r="AH424">
            <v>10.451612903225806</v>
          </cell>
          <cell r="AI424">
            <v>10</v>
          </cell>
          <cell r="AJ424">
            <v>10.75</v>
          </cell>
          <cell r="AK424">
            <v>10.935483870967744</v>
          </cell>
          <cell r="AL424">
            <v>11.666666666666666</v>
          </cell>
          <cell r="AM424">
            <v>11.580645161290322</v>
          </cell>
          <cell r="AN424">
            <v>11.3</v>
          </cell>
          <cell r="AO424">
            <v>11.903225806451614</v>
          </cell>
          <cell r="AP424">
            <v>11.483870967741936</v>
          </cell>
          <cell r="AQ424">
            <v>11.533333333333333</v>
          </cell>
          <cell r="AR424">
            <v>10</v>
          </cell>
          <cell r="AS424">
            <v>10.233333333333334</v>
          </cell>
          <cell r="AT424">
            <v>8.9677419354838719</v>
          </cell>
          <cell r="AU424">
            <v>8.064516129032258</v>
          </cell>
          <cell r="AV424">
            <v>10.178571428571429</v>
          </cell>
          <cell r="AW424">
            <v>10.258064516129032</v>
          </cell>
          <cell r="AX424">
            <v>10.166666666666666</v>
          </cell>
          <cell r="AY424">
            <v>10.93548387096774</v>
          </cell>
          <cell r="AZ424">
            <v>10.199999999999999</v>
          </cell>
        </row>
        <row r="425">
          <cell r="C425" t="str">
            <v>Harbor Schools/ Merrimac /100W.Main 5</v>
          </cell>
          <cell r="D425" t="str">
            <v>Lynn Area Office</v>
          </cell>
          <cell r="S425">
            <v>0.46666666666666667</v>
          </cell>
          <cell r="T425">
            <v>3.2258064516129031E-2</v>
          </cell>
          <cell r="Z425">
            <v>0.16666666666666666</v>
          </cell>
          <cell r="AP425">
            <v>3.2258064516129031E-2</v>
          </cell>
        </row>
        <row r="426">
          <cell r="C426" t="str">
            <v>HES / Beverly / 6 Echo Ave. 1</v>
          </cell>
          <cell r="D426" t="str">
            <v>Cape Ann Area Office</v>
          </cell>
          <cell r="E426">
            <v>3.4838709677419351</v>
          </cell>
          <cell r="F426">
            <v>8.4193548387096762</v>
          </cell>
          <cell r="G426">
            <v>8.4666666666666668</v>
          </cell>
          <cell r="H426">
            <v>8.6451612903225801</v>
          </cell>
          <cell r="I426">
            <v>10.6</v>
          </cell>
          <cell r="J426">
            <v>10.129032258064516</v>
          </cell>
          <cell r="K426">
            <v>11.32258064516129</v>
          </cell>
          <cell r="L426">
            <v>9.5714285714285712</v>
          </cell>
          <cell r="M426">
            <v>10.258064516129034</v>
          </cell>
          <cell r="N426">
            <v>9.3333333333333357</v>
          </cell>
          <cell r="O426">
            <v>10.93548387096774</v>
          </cell>
          <cell r="P426">
            <v>9.3333333333333321</v>
          </cell>
          <cell r="Q426">
            <v>10.225806451612904</v>
          </cell>
          <cell r="R426">
            <v>10.161290322580644</v>
          </cell>
          <cell r="S426">
            <v>7.133333333333332</v>
          </cell>
          <cell r="T426">
            <v>8.2903225806451619</v>
          </cell>
          <cell r="U426">
            <v>4.5333333333333332</v>
          </cell>
          <cell r="V426">
            <v>6.967741935483871</v>
          </cell>
          <cell r="W426">
            <v>8.1612903225806441</v>
          </cell>
          <cell r="X426">
            <v>6.862068965517242</v>
          </cell>
          <cell r="Y426">
            <v>5.032258064516129</v>
          </cell>
          <cell r="Z426">
            <v>7.4666666666666668</v>
          </cell>
          <cell r="AA426">
            <v>9.6129032258064502</v>
          </cell>
          <cell r="AB426">
            <v>7.6666666666666661</v>
          </cell>
          <cell r="AC426">
            <v>7.8387096774193541</v>
          </cell>
          <cell r="AD426">
            <v>10</v>
          </cell>
          <cell r="AE426">
            <v>10.966666666666665</v>
          </cell>
          <cell r="AF426">
            <v>6.7096774193548381</v>
          </cell>
          <cell r="AG426">
            <v>8.9333333333333336</v>
          </cell>
          <cell r="AH426">
            <v>8.6129032258064502</v>
          </cell>
          <cell r="AI426">
            <v>8.4193548387096762</v>
          </cell>
          <cell r="AJ426">
            <v>9.75</v>
          </cell>
          <cell r="AK426">
            <v>8.8387096774193541</v>
          </cell>
          <cell r="AL426">
            <v>10.133333333333333</v>
          </cell>
          <cell r="AM426">
            <v>9.9677419354838719</v>
          </cell>
          <cell r="AN426">
            <v>7.7</v>
          </cell>
          <cell r="AO426">
            <v>9.7096774193548381</v>
          </cell>
          <cell r="AP426">
            <v>0.5161290322580645</v>
          </cell>
        </row>
        <row r="427">
          <cell r="C427" t="str">
            <v>HES / Beverly / 6 Echo Ave. 2</v>
          </cell>
          <cell r="D427" t="str">
            <v>Haverhill Area Office</v>
          </cell>
          <cell r="T427">
            <v>0.32258064516129031</v>
          </cell>
          <cell r="U427">
            <v>2.4333333333333336</v>
          </cell>
          <cell r="V427">
            <v>2.032258064516129</v>
          </cell>
          <cell r="W427">
            <v>9.6774193548387094E-2</v>
          </cell>
          <cell r="X427">
            <v>0.55172413793103448</v>
          </cell>
          <cell r="Z427">
            <v>0.6333333333333333</v>
          </cell>
        </row>
        <row r="428">
          <cell r="C428" t="str">
            <v>HES / Beverly / 6 Echo Ave. 3</v>
          </cell>
          <cell r="D428" t="str">
            <v>Lawrence Area Office</v>
          </cell>
          <cell r="F428">
            <v>3.2258064516129031E-2</v>
          </cell>
          <cell r="S428">
            <v>0.13333333333333333</v>
          </cell>
          <cell r="T428">
            <v>0.25806451612903225</v>
          </cell>
          <cell r="U428">
            <v>0.36666666666666664</v>
          </cell>
          <cell r="V428">
            <v>0.32258064516129031</v>
          </cell>
          <cell r="AF428">
            <v>9.6774193548387094E-2</v>
          </cell>
          <cell r="AG428">
            <v>0.33333333333333331</v>
          </cell>
          <cell r="AH428">
            <v>0.12903225806451613</v>
          </cell>
        </row>
        <row r="429">
          <cell r="C429" t="str">
            <v>HES / Beverly / 6 Echo Ave. 4</v>
          </cell>
          <cell r="D429" t="str">
            <v>Lowell Area Office</v>
          </cell>
          <cell r="N429">
            <v>0.16666666666666666</v>
          </cell>
          <cell r="Z429">
            <v>0.13333333333333333</v>
          </cell>
          <cell r="AB429">
            <v>3.3333333333333333E-2</v>
          </cell>
          <cell r="AD429">
            <v>3.2258064516129031E-2</v>
          </cell>
          <cell r="AF429">
            <v>1.4516129032258065</v>
          </cell>
          <cell r="AG429">
            <v>1.0666666666666667</v>
          </cell>
          <cell r="AH429">
            <v>0.38709677419354838</v>
          </cell>
          <cell r="AI429">
            <v>3.2258064516129031E-2</v>
          </cell>
          <cell r="AJ429">
            <v>7.1428571428571425E-2</v>
          </cell>
        </row>
        <row r="430">
          <cell r="C430" t="str">
            <v>HES / Beverly / 6 Echo Ave. 5</v>
          </cell>
          <cell r="D430" t="str">
            <v>Lynn Area Office</v>
          </cell>
          <cell r="N430">
            <v>0.13333333333333333</v>
          </cell>
          <cell r="Q430">
            <v>0.29032258064516131</v>
          </cell>
          <cell r="R430">
            <v>0.35483870967741937</v>
          </cell>
          <cell r="S430">
            <v>0.36666666666666664</v>
          </cell>
          <cell r="T430">
            <v>0.4838709677419355</v>
          </cell>
          <cell r="U430">
            <v>0.16666666666666666</v>
          </cell>
          <cell r="V430">
            <v>6.4516129032258063E-2</v>
          </cell>
          <cell r="X430">
            <v>1.4827586206896552</v>
          </cell>
          <cell r="Y430">
            <v>1.4838709677419355</v>
          </cell>
          <cell r="Z430">
            <v>0.26666666666666666</v>
          </cell>
          <cell r="AA430">
            <v>0.32258064516129031</v>
          </cell>
          <cell r="AB430">
            <v>0.46666666666666667</v>
          </cell>
          <cell r="AC430">
            <v>1.3548387096774193</v>
          </cell>
          <cell r="AD430">
            <v>0.5161290322580645</v>
          </cell>
          <cell r="AE430">
            <v>0.56666666666666665</v>
          </cell>
          <cell r="AF430">
            <v>0.32258064516129031</v>
          </cell>
          <cell r="AH430">
            <v>0.25806451612903225</v>
          </cell>
          <cell r="AI430">
            <v>0.35483870967741937</v>
          </cell>
          <cell r="AJ430">
            <v>0.42857142857142855</v>
          </cell>
          <cell r="AK430">
            <v>0.45161290322580649</v>
          </cell>
          <cell r="AL430">
            <v>0.16666666666666666</v>
          </cell>
          <cell r="AM430">
            <v>9.6774193548387094E-2</v>
          </cell>
          <cell r="AN430">
            <v>0.46666666666666667</v>
          </cell>
        </row>
        <row r="431">
          <cell r="C431" t="str">
            <v>HES / Beverly / 6 Echo Ave. 6</v>
          </cell>
          <cell r="D431" t="str">
            <v>Park St. Area Office</v>
          </cell>
          <cell r="AG431">
            <v>0.1</v>
          </cell>
        </row>
        <row r="432">
          <cell r="C432" t="str">
            <v>HES / Beverly / 6 Echo Ave. 7</v>
          </cell>
          <cell r="D432" t="str">
            <v>(blank)</v>
          </cell>
          <cell r="AJ432">
            <v>0.14285714285714285</v>
          </cell>
        </row>
        <row r="433">
          <cell r="C433" t="str">
            <v>HES / Haverhill / 8-10 Howard St 1</v>
          </cell>
          <cell r="D433" t="str">
            <v>Cape Ann Area Office</v>
          </cell>
          <cell r="M433">
            <v>0.61290322580645162</v>
          </cell>
          <cell r="N433">
            <v>1</v>
          </cell>
          <cell r="O433">
            <v>3.2258064516129031E-2</v>
          </cell>
          <cell r="T433">
            <v>0.93548387096774199</v>
          </cell>
          <cell r="U433">
            <v>1</v>
          </cell>
          <cell r="V433">
            <v>1</v>
          </cell>
          <cell r="W433">
            <v>0.67741935483870963</v>
          </cell>
        </row>
        <row r="434">
          <cell r="C434" t="str">
            <v>HES / Haverhill / 8-10 Howard St 2</v>
          </cell>
          <cell r="D434" t="str">
            <v>Haverhill Area Office</v>
          </cell>
          <cell r="M434">
            <v>1</v>
          </cell>
          <cell r="N434">
            <v>0.33333333333333331</v>
          </cell>
          <cell r="O434">
            <v>1.6774193548387095</v>
          </cell>
          <cell r="P434">
            <v>2.2333333333333334</v>
          </cell>
          <cell r="Q434">
            <v>2</v>
          </cell>
          <cell r="R434">
            <v>1.6774193548387097</v>
          </cell>
          <cell r="S434">
            <v>0.8</v>
          </cell>
          <cell r="T434">
            <v>0.25806451612903225</v>
          </cell>
          <cell r="U434">
            <v>1.5333333333333332</v>
          </cell>
          <cell r="V434">
            <v>2.6774193548387095</v>
          </cell>
          <cell r="W434">
            <v>2.967741935483871</v>
          </cell>
          <cell r="X434">
            <v>3.2413793103448274</v>
          </cell>
          <cell r="Y434">
            <v>2.096774193548387</v>
          </cell>
          <cell r="Z434">
            <v>2</v>
          </cell>
          <cell r="AA434">
            <v>2</v>
          </cell>
          <cell r="AB434">
            <v>1.8666666666666667</v>
          </cell>
          <cell r="AC434">
            <v>1</v>
          </cell>
          <cell r="AD434">
            <v>1.3870967741935485</v>
          </cell>
          <cell r="AE434">
            <v>1.9666666666666668</v>
          </cell>
          <cell r="AF434">
            <v>1.8064516129032258</v>
          </cell>
          <cell r="AG434">
            <v>0.3666666666666667</v>
          </cell>
        </row>
        <row r="435">
          <cell r="C435" t="str">
            <v>HES / Haverhill / 8-10 Howard St 3</v>
          </cell>
          <cell r="D435" t="str">
            <v>Lawrence Area Office</v>
          </cell>
          <cell r="M435">
            <v>1.3548387096774193</v>
          </cell>
          <cell r="N435">
            <v>2.8333333333333335</v>
          </cell>
          <cell r="O435">
            <v>1.193548387096774</v>
          </cell>
          <cell r="P435">
            <v>2.1666666666666665</v>
          </cell>
          <cell r="Q435">
            <v>2.4838709677419355</v>
          </cell>
          <cell r="R435">
            <v>2.6129032258064515</v>
          </cell>
          <cell r="S435">
            <v>1.2</v>
          </cell>
          <cell r="T435">
            <v>0.35483870967741937</v>
          </cell>
          <cell r="W435">
            <v>0.32258064516129031</v>
          </cell>
          <cell r="X435">
            <v>1</v>
          </cell>
          <cell r="Y435">
            <v>1.2903225806451613</v>
          </cell>
          <cell r="Z435">
            <v>1.7666666666666666</v>
          </cell>
          <cell r="AA435">
            <v>0.12903225806451613</v>
          </cell>
          <cell r="AC435">
            <v>0.29032258064516131</v>
          </cell>
          <cell r="AE435">
            <v>0.3</v>
          </cell>
          <cell r="AF435">
            <v>1</v>
          </cell>
          <cell r="AG435">
            <v>0.66666666666666663</v>
          </cell>
        </row>
        <row r="436">
          <cell r="C436" t="str">
            <v>HES / Haverhill / 8-10 Howard St 4</v>
          </cell>
          <cell r="D436" t="str">
            <v>Lowell Area Office</v>
          </cell>
          <cell r="L436">
            <v>1.4285714285714284</v>
          </cell>
          <cell r="M436">
            <v>3.5483870967741935</v>
          </cell>
          <cell r="N436">
            <v>3.3666666666666667</v>
          </cell>
          <cell r="O436">
            <v>2.774193548387097</v>
          </cell>
          <cell r="P436">
            <v>3</v>
          </cell>
          <cell r="Q436">
            <v>2.4838709677419355</v>
          </cell>
          <cell r="R436">
            <v>2.3548387096774195</v>
          </cell>
          <cell r="S436">
            <v>1.9</v>
          </cell>
          <cell r="T436">
            <v>2</v>
          </cell>
          <cell r="U436">
            <v>1.3666666666666665</v>
          </cell>
          <cell r="V436">
            <v>1.3870967741935485</v>
          </cell>
          <cell r="W436">
            <v>2.903225806451613</v>
          </cell>
          <cell r="X436">
            <v>1.3448275862068966</v>
          </cell>
          <cell r="Y436">
            <v>2.6129032258064515</v>
          </cell>
          <cell r="Z436">
            <v>2.2000000000000002</v>
          </cell>
          <cell r="AA436">
            <v>3.032258064516129</v>
          </cell>
          <cell r="AB436">
            <v>3.4666666666666663</v>
          </cell>
          <cell r="AC436">
            <v>2.6774193548387095</v>
          </cell>
          <cell r="AD436">
            <v>2.32258064516129</v>
          </cell>
          <cell r="AE436">
            <v>1.8333333333333333</v>
          </cell>
          <cell r="AF436">
            <v>2.806451612903226</v>
          </cell>
          <cell r="AG436">
            <v>1.2666666666666666</v>
          </cell>
        </row>
        <row r="437">
          <cell r="C437" t="str">
            <v>HES / Haverhill / 8-10 Howard St 5</v>
          </cell>
          <cell r="D437" t="str">
            <v>New Bedford Child and Family (Adop)</v>
          </cell>
          <cell r="AC437">
            <v>1</v>
          </cell>
          <cell r="AD437">
            <v>1</v>
          </cell>
          <cell r="AE437">
            <v>1</v>
          </cell>
          <cell r="AF437">
            <v>0.16129032258064516</v>
          </cell>
        </row>
        <row r="438">
          <cell r="C438" t="str">
            <v>HES / Salem / 39 1/2 Mason St 1</v>
          </cell>
          <cell r="D438" t="str">
            <v>Cape Ann Area Office</v>
          </cell>
          <cell r="AO438">
            <v>0.80645161290322576</v>
          </cell>
          <cell r="AP438">
            <v>8.1290322580645142</v>
          </cell>
          <cell r="AQ438">
            <v>6.3</v>
          </cell>
          <cell r="AR438">
            <v>6.7096774193548372</v>
          </cell>
          <cell r="AS438">
            <v>8.5666666666666664</v>
          </cell>
          <cell r="AT438">
            <v>7.32258064516129</v>
          </cell>
          <cell r="AU438">
            <v>8.64</v>
          </cell>
          <cell r="AV438">
            <v>8.0357142857142865</v>
          </cell>
          <cell r="AW438">
            <v>7.0322580645161281</v>
          </cell>
          <cell r="AX438">
            <v>9.3000000000000007</v>
          </cell>
          <cell r="AY438">
            <v>8.3225806451612883</v>
          </cell>
          <cell r="AZ438">
            <v>8.8333333333333304</v>
          </cell>
        </row>
        <row r="439">
          <cell r="C439" t="str">
            <v>HES / Salem / 39 1/2 Mason St 2</v>
          </cell>
          <cell r="D439" t="str">
            <v>Haverhill Area Office</v>
          </cell>
          <cell r="AZ439">
            <v>0.33333333333333331</v>
          </cell>
        </row>
        <row r="440">
          <cell r="C440" t="str">
            <v>HES / Salem / 39 1/2 Mason St 3</v>
          </cell>
          <cell r="D440" t="str">
            <v>Hyde Park Area Office</v>
          </cell>
          <cell r="AV440">
            <v>0.14285714285714285</v>
          </cell>
        </row>
        <row r="441">
          <cell r="C441" t="str">
            <v>HES / Salem / 39 1/2 Mason St 4</v>
          </cell>
          <cell r="D441" t="str">
            <v>Lawrence Area Office</v>
          </cell>
          <cell r="AR441">
            <v>9.6774193548387094E-2</v>
          </cell>
          <cell r="AT441">
            <v>9.6774193548387094E-2</v>
          </cell>
        </row>
        <row r="442">
          <cell r="C442" t="str">
            <v>HES / Salem / 39 1/2 Mason St 5</v>
          </cell>
          <cell r="D442" t="str">
            <v>Lowell Area Office</v>
          </cell>
          <cell r="AP442">
            <v>9.6774193548387094E-2</v>
          </cell>
        </row>
        <row r="443">
          <cell r="C443" t="str">
            <v>HES / Salem / 39 1/2 Mason St 6</v>
          </cell>
          <cell r="D443" t="str">
            <v>Lynn Area Office</v>
          </cell>
          <cell r="AP443">
            <v>1.5161290322580645</v>
          </cell>
          <cell r="AQ443">
            <v>0.83333333333333326</v>
          </cell>
          <cell r="AR443">
            <v>0.90322580645161299</v>
          </cell>
          <cell r="AS443">
            <v>0.83333333333333337</v>
          </cell>
          <cell r="AT443">
            <v>1.4516129032258065</v>
          </cell>
          <cell r="AV443">
            <v>0.75</v>
          </cell>
          <cell r="AW443">
            <v>0.19354838709677419</v>
          </cell>
          <cell r="AX443">
            <v>0.6333333333333333</v>
          </cell>
          <cell r="AY443">
            <v>0.12903225806451613</v>
          </cell>
          <cell r="AZ443">
            <v>0.5</v>
          </cell>
        </row>
        <row r="444">
          <cell r="C444" t="str">
            <v>ItalianHome/E. Freetown/9PinewoodCt 1</v>
          </cell>
          <cell r="D444" t="str">
            <v>Brockton Area Office</v>
          </cell>
          <cell r="G444">
            <v>0.76666666666666672</v>
          </cell>
          <cell r="H444">
            <v>1.3870967741935485</v>
          </cell>
          <cell r="I444">
            <v>2</v>
          </cell>
          <cell r="J444">
            <v>3</v>
          </cell>
          <cell r="K444">
            <v>5.096774193548387</v>
          </cell>
          <cell r="L444">
            <v>4.0357142857142847</v>
          </cell>
          <cell r="M444">
            <v>2.774193548387097</v>
          </cell>
          <cell r="N444">
            <v>2</v>
          </cell>
          <cell r="O444">
            <v>2.3548387096774195</v>
          </cell>
          <cell r="P444">
            <v>1.9666666666666668</v>
          </cell>
          <cell r="Q444">
            <v>1.2258064516129032</v>
          </cell>
          <cell r="R444">
            <v>3.096774193548387</v>
          </cell>
          <cell r="S444">
            <v>2.9333333333333336</v>
          </cell>
          <cell r="T444">
            <v>2.096774193548387</v>
          </cell>
          <cell r="U444">
            <v>1.4666666666666668</v>
          </cell>
          <cell r="V444">
            <v>0.41935483870967744</v>
          </cell>
          <cell r="W444">
            <v>1.7096774193548387</v>
          </cell>
          <cell r="X444">
            <v>4</v>
          </cell>
          <cell r="Y444">
            <v>3.967741935483871</v>
          </cell>
          <cell r="Z444">
            <v>1.7</v>
          </cell>
          <cell r="AA444">
            <v>1.741935483870968</v>
          </cell>
          <cell r="AB444">
            <v>2.4666666666666668</v>
          </cell>
          <cell r="AC444">
            <v>1.161290322580645</v>
          </cell>
          <cell r="AD444">
            <v>1.5483870967741935</v>
          </cell>
          <cell r="AE444">
            <v>0.76666666666666661</v>
          </cell>
          <cell r="AF444">
            <v>1</v>
          </cell>
          <cell r="AG444">
            <v>1.5666666666666667</v>
          </cell>
          <cell r="AH444">
            <v>2</v>
          </cell>
          <cell r="AI444">
            <v>1.5806451612903225</v>
          </cell>
          <cell r="AJ444">
            <v>3.3571428571428572</v>
          </cell>
          <cell r="AK444">
            <v>3.903225806451613</v>
          </cell>
          <cell r="AL444">
            <v>3.8666666666666667</v>
          </cell>
          <cell r="AM444">
            <v>1.1935483870967742</v>
          </cell>
          <cell r="AN444">
            <v>1.8666666666666667</v>
          </cell>
          <cell r="AO444">
            <v>1.6129032258064515</v>
          </cell>
          <cell r="AP444">
            <v>2</v>
          </cell>
          <cell r="AQ444">
            <v>1.3666666666666667</v>
          </cell>
          <cell r="AR444">
            <v>2.7419354838709675</v>
          </cell>
          <cell r="AS444">
            <v>4</v>
          </cell>
          <cell r="AT444">
            <v>4</v>
          </cell>
          <cell r="AU444">
            <v>4</v>
          </cell>
          <cell r="AV444">
            <v>4</v>
          </cell>
          <cell r="AW444">
            <v>1.9677419354838708</v>
          </cell>
          <cell r="AX444">
            <v>2.0333333333333332</v>
          </cell>
          <cell r="AY444">
            <v>0.54838709677419351</v>
          </cell>
          <cell r="AZ444">
            <v>1.1333333333333333</v>
          </cell>
        </row>
        <row r="445">
          <cell r="C445" t="str">
            <v>ItalianHome/E. Freetown/9PinewoodCt 2</v>
          </cell>
          <cell r="D445" t="str">
            <v>Cape Cod Area Office</v>
          </cell>
          <cell r="AC445">
            <v>1</v>
          </cell>
          <cell r="AD445">
            <v>2</v>
          </cell>
          <cell r="AE445">
            <v>1.0666666666666667</v>
          </cell>
          <cell r="AL445">
            <v>3.3333333333333333E-2</v>
          </cell>
          <cell r="AM445">
            <v>1</v>
          </cell>
          <cell r="AN445">
            <v>1</v>
          </cell>
          <cell r="AO445">
            <v>0.87096774193548387</v>
          </cell>
          <cell r="AY445">
            <v>0.41935483870967744</v>
          </cell>
          <cell r="AZ445">
            <v>1</v>
          </cell>
        </row>
        <row r="446">
          <cell r="C446" t="str">
            <v>ItalianHome/E. Freetown/9PinewoodCt 3</v>
          </cell>
          <cell r="D446" t="str">
            <v>Communities For People (Adop)</v>
          </cell>
          <cell r="AE446">
            <v>0.9</v>
          </cell>
          <cell r="AF446">
            <v>1</v>
          </cell>
          <cell r="AG446">
            <v>1</v>
          </cell>
          <cell r="AH446">
            <v>0.12903225806451613</v>
          </cell>
          <cell r="AS446">
            <v>0.6333333333333333</v>
          </cell>
          <cell r="AT446">
            <v>1</v>
          </cell>
          <cell r="AU446">
            <v>1</v>
          </cell>
          <cell r="AV446">
            <v>1</v>
          </cell>
          <cell r="AW446">
            <v>1</v>
          </cell>
          <cell r="AX446">
            <v>1</v>
          </cell>
          <cell r="AY446">
            <v>1</v>
          </cell>
          <cell r="AZ446">
            <v>3.3333333333333333E-2</v>
          </cell>
        </row>
        <row r="447">
          <cell r="C447" t="str">
            <v>ItalianHome/E. Freetown/9PinewoodCt 4</v>
          </cell>
          <cell r="D447" t="str">
            <v>Fall River Area Office</v>
          </cell>
          <cell r="P447">
            <v>1</v>
          </cell>
          <cell r="Q447">
            <v>0.4838709677419355</v>
          </cell>
          <cell r="R447">
            <v>0.4838709677419355</v>
          </cell>
          <cell r="Z447">
            <v>0.96666666666666667</v>
          </cell>
          <cell r="AA447">
            <v>1</v>
          </cell>
          <cell r="AB447">
            <v>0.73333333333333328</v>
          </cell>
          <cell r="AH447">
            <v>0.87096774193548387</v>
          </cell>
          <cell r="AI447">
            <v>0.25806451612903225</v>
          </cell>
          <cell r="AO447">
            <v>1.7419354838709677</v>
          </cell>
          <cell r="AP447">
            <v>1.096774193548387</v>
          </cell>
          <cell r="AQ447">
            <v>0.53333333333333333</v>
          </cell>
          <cell r="AZ447">
            <v>1.3666666666666667</v>
          </cell>
        </row>
        <row r="448">
          <cell r="C448" t="str">
            <v>ItalianHome/E. Freetown/9PinewoodCt 5</v>
          </cell>
          <cell r="D448" t="str">
            <v>Hyde Park Area Office</v>
          </cell>
          <cell r="AV448">
            <v>0.75</v>
          </cell>
        </row>
        <row r="449">
          <cell r="C449" t="str">
            <v>ItalianHome/E. Freetown/9PinewoodCt 6</v>
          </cell>
          <cell r="D449" t="str">
            <v>New Bedford Area Office</v>
          </cell>
          <cell r="N449">
            <v>0.13333333333333333</v>
          </cell>
          <cell r="R449">
            <v>0.87096774193548387</v>
          </cell>
          <cell r="T449">
            <v>0.16129032258064516</v>
          </cell>
          <cell r="Z449">
            <v>0.2</v>
          </cell>
          <cell r="AA449">
            <v>0.64516129032258063</v>
          </cell>
          <cell r="AB449">
            <v>1</v>
          </cell>
          <cell r="AC449">
            <v>1</v>
          </cell>
          <cell r="AD449">
            <v>1.064516129032258</v>
          </cell>
          <cell r="AE449">
            <v>1</v>
          </cell>
          <cell r="AF449">
            <v>1.8064516129032258</v>
          </cell>
          <cell r="AG449">
            <v>0.16666666666666666</v>
          </cell>
          <cell r="AI449">
            <v>0.87096774193548387</v>
          </cell>
          <cell r="AJ449">
            <v>1.1785714285714286</v>
          </cell>
          <cell r="AK449">
            <v>0.35483870967741937</v>
          </cell>
          <cell r="AY449">
            <v>0.25806451612903225</v>
          </cell>
          <cell r="AZ449">
            <v>0.66666666666666663</v>
          </cell>
        </row>
        <row r="450">
          <cell r="C450" t="str">
            <v>ItalianHome/E. Freetown/9PinewoodCt 7</v>
          </cell>
          <cell r="D450" t="str">
            <v>Plymouth Area Office</v>
          </cell>
          <cell r="G450">
            <v>1.1666666666666665</v>
          </cell>
          <cell r="H450">
            <v>1</v>
          </cell>
          <cell r="I450">
            <v>1.8333333333333335</v>
          </cell>
          <cell r="J450">
            <v>3</v>
          </cell>
          <cell r="K450">
            <v>2.3548387096774195</v>
          </cell>
          <cell r="L450">
            <v>2.0357142857142856</v>
          </cell>
          <cell r="M450">
            <v>3.032258064516129</v>
          </cell>
          <cell r="N450">
            <v>1.6333333333333333</v>
          </cell>
          <cell r="O450">
            <v>1.4516129032258065</v>
          </cell>
          <cell r="P450">
            <v>0.9</v>
          </cell>
          <cell r="Q450">
            <v>2.419354838709677</v>
          </cell>
          <cell r="R450">
            <v>2.5483870967741935</v>
          </cell>
          <cell r="S450">
            <v>2.2999999999999998</v>
          </cell>
          <cell r="T450">
            <v>1.032258064516129</v>
          </cell>
          <cell r="U450">
            <v>1.6333333333333333</v>
          </cell>
          <cell r="V450">
            <v>2</v>
          </cell>
          <cell r="W450">
            <v>1.129032258064516</v>
          </cell>
          <cell r="X450">
            <v>3</v>
          </cell>
          <cell r="Y450">
            <v>2.4193548387096775</v>
          </cell>
          <cell r="Z450">
            <v>3</v>
          </cell>
          <cell r="AA450">
            <v>2.967741935483871</v>
          </cell>
          <cell r="AB450">
            <v>1.6333333333333333</v>
          </cell>
          <cell r="AC450">
            <v>2.806451612903226</v>
          </cell>
          <cell r="AD450">
            <v>1.7419354838709677</v>
          </cell>
          <cell r="AE450">
            <v>2.6</v>
          </cell>
          <cell r="AF450">
            <v>3.967741935483871</v>
          </cell>
          <cell r="AG450">
            <v>4</v>
          </cell>
          <cell r="AH450">
            <v>2.7096774193548385</v>
          </cell>
          <cell r="AI450">
            <v>2.5483870967741935</v>
          </cell>
          <cell r="AJ450">
            <v>1.8571428571428572</v>
          </cell>
          <cell r="AK450">
            <v>1.4838709677419355</v>
          </cell>
          <cell r="AL450">
            <v>2.2666666666666666</v>
          </cell>
          <cell r="AM450">
            <v>1.4193548387096775</v>
          </cell>
          <cell r="AN450">
            <v>1.3</v>
          </cell>
          <cell r="AO450">
            <v>2</v>
          </cell>
          <cell r="AP450">
            <v>2.032258064516129</v>
          </cell>
          <cell r="AQ450">
            <v>2</v>
          </cell>
          <cell r="AR450">
            <v>2.3870967741935485</v>
          </cell>
          <cell r="AS450">
            <v>2.1</v>
          </cell>
          <cell r="AT450">
            <v>0.67741935483870963</v>
          </cell>
          <cell r="AU450">
            <v>0.41935483870967744</v>
          </cell>
          <cell r="AV450">
            <v>2.6071428571428572</v>
          </cell>
          <cell r="AW450">
            <v>3</v>
          </cell>
          <cell r="AX450">
            <v>4.4000000000000004</v>
          </cell>
          <cell r="AY450">
            <v>4.838709677419355</v>
          </cell>
          <cell r="AZ450">
            <v>3</v>
          </cell>
        </row>
        <row r="451">
          <cell r="C451" t="str">
            <v>ItalianHome/E. Freetown/9PinewoodCt 8</v>
          </cell>
          <cell r="D451" t="str">
            <v>Taunton/Attleboro Area Office</v>
          </cell>
          <cell r="F451">
            <v>0.12903225806451613</v>
          </cell>
          <cell r="G451">
            <v>1</v>
          </cell>
          <cell r="H451">
            <v>0.12903225806451613</v>
          </cell>
          <cell r="K451">
            <v>0.67741935483870963</v>
          </cell>
          <cell r="L451">
            <v>1</v>
          </cell>
          <cell r="M451">
            <v>1.6451612903225805</v>
          </cell>
          <cell r="N451">
            <v>1.7666666666666666</v>
          </cell>
          <cell r="O451">
            <v>0.25806451612903225</v>
          </cell>
          <cell r="P451">
            <v>0.83333333333333337</v>
          </cell>
          <cell r="Q451">
            <v>0.25806451612903225</v>
          </cell>
          <cell r="R451">
            <v>0.54838709677419351</v>
          </cell>
          <cell r="S451">
            <v>2</v>
          </cell>
          <cell r="T451">
            <v>2.225806451612903</v>
          </cell>
          <cell r="U451">
            <v>1.4333333333333336</v>
          </cell>
          <cell r="V451">
            <v>1</v>
          </cell>
          <cell r="W451">
            <v>1.903225806451613</v>
          </cell>
          <cell r="X451">
            <v>2.4137931034482758</v>
          </cell>
          <cell r="Y451">
            <v>1.193548387096774</v>
          </cell>
          <cell r="Z451">
            <v>1.4666666666666668</v>
          </cell>
          <cell r="AA451">
            <v>1</v>
          </cell>
          <cell r="AB451">
            <v>1</v>
          </cell>
          <cell r="AC451">
            <v>0.967741935483871</v>
          </cell>
          <cell r="AD451">
            <v>0.80645161290322576</v>
          </cell>
          <cell r="AF451">
            <v>3.2258064516129031E-2</v>
          </cell>
          <cell r="AG451">
            <v>1</v>
          </cell>
          <cell r="AH451">
            <v>1</v>
          </cell>
          <cell r="AI451">
            <v>1</v>
          </cell>
          <cell r="AJ451">
            <v>0.9285714285714286</v>
          </cell>
          <cell r="AL451">
            <v>0.83333333333333337</v>
          </cell>
          <cell r="AM451">
            <v>1.4193548387096775</v>
          </cell>
          <cell r="AN451">
            <v>2</v>
          </cell>
          <cell r="AO451">
            <v>1</v>
          </cell>
          <cell r="AP451">
            <v>0.19354838709677419</v>
          </cell>
          <cell r="AU451">
            <v>0.35483870967741937</v>
          </cell>
          <cell r="AZ451">
            <v>0.96666666666666667</v>
          </cell>
        </row>
        <row r="452">
          <cell r="C452" t="str">
            <v>ItalianHome/JamPl/1125CentreSt 1</v>
          </cell>
          <cell r="D452" t="str">
            <v>Brockton Area Office</v>
          </cell>
          <cell r="AN452">
            <v>0.66666666666666663</v>
          </cell>
          <cell r="AO452">
            <v>0.74193548387096775</v>
          </cell>
        </row>
        <row r="453">
          <cell r="C453" t="str">
            <v>ItalianHome/JamPl/1125CentreSt 2</v>
          </cell>
          <cell r="D453" t="str">
            <v>Cape Cod Area Office</v>
          </cell>
          <cell r="AS453">
            <v>6.6666666666666666E-2</v>
          </cell>
        </row>
        <row r="454">
          <cell r="C454" t="str">
            <v>ItalianHome/JamPl/1125CentreSt 3</v>
          </cell>
          <cell r="D454" t="str">
            <v>Coastal Area Office</v>
          </cell>
          <cell r="AO454">
            <v>0.41935483870967744</v>
          </cell>
        </row>
        <row r="455">
          <cell r="C455" t="str">
            <v>ItalianHome/JamPl/1125CentreSt 4</v>
          </cell>
          <cell r="D455" t="str">
            <v>Dimock St. Area Office</v>
          </cell>
          <cell r="I455">
            <v>0.73333333333333328</v>
          </cell>
          <cell r="J455">
            <v>0.64516129032258063</v>
          </cell>
          <cell r="N455">
            <v>0.5</v>
          </cell>
          <cell r="O455">
            <v>0.38709677419354838</v>
          </cell>
          <cell r="U455">
            <v>0.16666666666666666</v>
          </cell>
          <cell r="V455">
            <v>1</v>
          </cell>
          <cell r="W455">
            <v>0.32258064516129031</v>
          </cell>
          <cell r="Y455">
            <v>0.19354838709677419</v>
          </cell>
          <cell r="Z455">
            <v>1</v>
          </cell>
          <cell r="AA455">
            <v>0.35483870967741937</v>
          </cell>
          <cell r="AC455">
            <v>3.2258064516129031E-2</v>
          </cell>
          <cell r="AD455">
            <v>1.4516129032258065</v>
          </cell>
          <cell r="AE455">
            <v>0.6</v>
          </cell>
          <cell r="AF455">
            <v>1.1935483870967742</v>
          </cell>
          <cell r="AG455">
            <v>2</v>
          </cell>
          <cell r="AH455">
            <v>0.93548387096774188</v>
          </cell>
          <cell r="AI455">
            <v>0.41935483870967744</v>
          </cell>
          <cell r="AK455">
            <v>0.22580645161290322</v>
          </cell>
        </row>
        <row r="456">
          <cell r="C456" t="str">
            <v>ItalianHome/JamPl/1125CentreSt 5</v>
          </cell>
          <cell r="D456" t="str">
            <v>Framingham Area Office</v>
          </cell>
          <cell r="X456">
            <v>0.82758620689655171</v>
          </cell>
          <cell r="Y456">
            <v>0.12903225806451613</v>
          </cell>
        </row>
        <row r="457">
          <cell r="C457" t="str">
            <v>ItalianHome/JamPl/1125CentreSt 6</v>
          </cell>
          <cell r="D457" t="str">
            <v>Harbor Area Office</v>
          </cell>
          <cell r="S457">
            <v>0.8666666666666667</v>
          </cell>
          <cell r="T457">
            <v>0.5161290322580645</v>
          </cell>
          <cell r="AA457">
            <v>0.54838709677419351</v>
          </cell>
          <cell r="AB457">
            <v>1</v>
          </cell>
          <cell r="AC457">
            <v>0.22580645161290322</v>
          </cell>
          <cell r="AI457">
            <v>0.58064516129032262</v>
          </cell>
          <cell r="AJ457">
            <v>1</v>
          </cell>
          <cell r="AK457">
            <v>1</v>
          </cell>
          <cell r="AL457">
            <v>0.8666666666666667</v>
          </cell>
          <cell r="AR457">
            <v>0.38709677419354838</v>
          </cell>
          <cell r="AS457">
            <v>1</v>
          </cell>
          <cell r="AT457">
            <v>6.4516129032258063E-2</v>
          </cell>
        </row>
        <row r="458">
          <cell r="C458" t="str">
            <v>ItalianHome/JamPl/1125CentreSt 7</v>
          </cell>
          <cell r="D458" t="str">
            <v>Hyde Park Area Office</v>
          </cell>
          <cell r="F458">
            <v>0.45161290322580644</v>
          </cell>
          <cell r="G458">
            <v>1</v>
          </cell>
          <cell r="H458">
            <v>3.2258064516129031E-2</v>
          </cell>
          <cell r="L458">
            <v>0.5714285714285714</v>
          </cell>
          <cell r="M458">
            <v>1.6129032258064515</v>
          </cell>
          <cell r="N458">
            <v>1.2666666666666666</v>
          </cell>
          <cell r="O458">
            <v>6.4516129032258063E-2</v>
          </cell>
          <cell r="Q458">
            <v>0.19354838709677419</v>
          </cell>
          <cell r="R458">
            <v>1</v>
          </cell>
          <cell r="S458">
            <v>1</v>
          </cell>
          <cell r="T458">
            <v>0.77419354838709675</v>
          </cell>
          <cell r="U458">
            <v>1</v>
          </cell>
          <cell r="V458">
            <v>0.29032258064516131</v>
          </cell>
          <cell r="X458">
            <v>0.7931034482758621</v>
          </cell>
          <cell r="Y458">
            <v>0.58064516129032262</v>
          </cell>
          <cell r="Z458">
            <v>0.93333333333333335</v>
          </cell>
          <cell r="AL458">
            <v>0.1</v>
          </cell>
          <cell r="AP458">
            <v>0.19354838709677419</v>
          </cell>
          <cell r="AQ458">
            <v>2</v>
          </cell>
          <cell r="AR458">
            <v>0.61290322580645162</v>
          </cell>
        </row>
        <row r="459">
          <cell r="C459" t="str">
            <v>ItalianHome/JamPl/1125CentreSt 8</v>
          </cell>
          <cell r="D459" t="str">
            <v>Park St. Area Office</v>
          </cell>
          <cell r="E459">
            <v>3.2258064516129031E-2</v>
          </cell>
          <cell r="F459">
            <v>1</v>
          </cell>
          <cell r="G459">
            <v>1</v>
          </cell>
          <cell r="H459">
            <v>0.96774193548387089</v>
          </cell>
          <cell r="I459">
            <v>0.7</v>
          </cell>
          <cell r="K459">
            <v>0.77419354838709675</v>
          </cell>
          <cell r="L459">
            <v>0.9285714285714286</v>
          </cell>
          <cell r="P459">
            <v>0.93333333333333335</v>
          </cell>
          <cell r="Q459">
            <v>1.7096774193548387</v>
          </cell>
          <cell r="R459">
            <v>0.38709677419354838</v>
          </cell>
          <cell r="V459">
            <v>0.61290322580645162</v>
          </cell>
          <cell r="W459">
            <v>0.87096774193548387</v>
          </cell>
          <cell r="Y459">
            <v>0.16129032258064516</v>
          </cell>
          <cell r="Z459">
            <v>6.6666666666666666E-2</v>
          </cell>
          <cell r="AA459">
            <v>1</v>
          </cell>
          <cell r="AB459">
            <v>0.8</v>
          </cell>
          <cell r="AC459">
            <v>1</v>
          </cell>
          <cell r="AD459">
            <v>0.19354838709677419</v>
          </cell>
          <cell r="AH459">
            <v>0.70967741935483875</v>
          </cell>
          <cell r="AI459">
            <v>1</v>
          </cell>
          <cell r="AJ459">
            <v>1</v>
          </cell>
          <cell r="AK459">
            <v>0.16129032258064516</v>
          </cell>
          <cell r="AM459">
            <v>0.58064516129032262</v>
          </cell>
          <cell r="AN459">
            <v>0.93333333333333335</v>
          </cell>
          <cell r="AO459">
            <v>0.12903225806451613</v>
          </cell>
          <cell r="AP459">
            <v>0.58064516129032262</v>
          </cell>
          <cell r="AR459">
            <v>0.29032258064516131</v>
          </cell>
          <cell r="AS459">
            <v>0.8</v>
          </cell>
        </row>
        <row r="460">
          <cell r="C460" t="str">
            <v>ItalianHome/JamPl/1125CentreSt 9</v>
          </cell>
          <cell r="D460" t="str">
            <v>Plymouth Area Office</v>
          </cell>
          <cell r="AL460">
            <v>0.13333333333333333</v>
          </cell>
          <cell r="AM460">
            <v>1</v>
          </cell>
        </row>
        <row r="461">
          <cell r="C461" t="str">
            <v>Key / Fall River / 62 County St 1</v>
          </cell>
          <cell r="D461" t="str">
            <v>Brockton Area Office</v>
          </cell>
          <cell r="E461">
            <v>0.12903225806451613</v>
          </cell>
          <cell r="O461">
            <v>0.74193548387096775</v>
          </cell>
          <cell r="P461">
            <v>0.1</v>
          </cell>
          <cell r="Q461">
            <v>0.38709677419354838</v>
          </cell>
          <cell r="R461">
            <v>1</v>
          </cell>
          <cell r="S461">
            <v>0.8666666666666667</v>
          </cell>
          <cell r="T461">
            <v>0.96774193548387089</v>
          </cell>
          <cell r="Y461">
            <v>0.12903225806451613</v>
          </cell>
          <cell r="Z461">
            <v>3.3333333333333333E-2</v>
          </cell>
          <cell r="AF461">
            <v>1.5161290322580645</v>
          </cell>
          <cell r="AG461">
            <v>1.2666666666666668</v>
          </cell>
          <cell r="AH461">
            <v>0.35483870967741937</v>
          </cell>
          <cell r="AI461">
            <v>1.7741935483870968</v>
          </cell>
          <cell r="AJ461">
            <v>0.14285714285714285</v>
          </cell>
          <cell r="AK461">
            <v>0.41935483870967744</v>
          </cell>
          <cell r="AL461">
            <v>6.6666666666666666E-2</v>
          </cell>
          <cell r="AM461">
            <v>0.4838709677419355</v>
          </cell>
          <cell r="AN461">
            <v>0.66666666666666663</v>
          </cell>
          <cell r="AQ461">
            <v>0.73333333333333328</v>
          </cell>
          <cell r="AU461">
            <v>9.6774193548387094E-2</v>
          </cell>
          <cell r="AW461">
            <v>6.4516129032258063E-2</v>
          </cell>
          <cell r="AX461">
            <v>0.13333333333333333</v>
          </cell>
        </row>
        <row r="462">
          <cell r="C462" t="str">
            <v>Key / Fall River / 62 County St 2</v>
          </cell>
          <cell r="D462" t="str">
            <v>Cape Cod Area Office</v>
          </cell>
          <cell r="E462">
            <v>6.4516129032258063E-2</v>
          </cell>
        </row>
        <row r="463">
          <cell r="C463" t="str">
            <v>Key / Fall River / 62 County St 3</v>
          </cell>
          <cell r="D463" t="str">
            <v>Fall River Area Office</v>
          </cell>
          <cell r="E463">
            <v>0.64516129032258063</v>
          </cell>
          <cell r="F463">
            <v>0.45161290322580649</v>
          </cell>
          <cell r="G463">
            <v>1.0666666666666669</v>
          </cell>
          <cell r="H463">
            <v>3.161290322580645</v>
          </cell>
          <cell r="I463">
            <v>7.7</v>
          </cell>
          <cell r="J463">
            <v>9.935483870967742</v>
          </cell>
          <cell r="K463">
            <v>9.193548387096774</v>
          </cell>
          <cell r="L463">
            <v>9.7857142857142847</v>
          </cell>
          <cell r="M463">
            <v>9.3225806451612918</v>
          </cell>
          <cell r="N463">
            <v>11.8</v>
          </cell>
          <cell r="O463">
            <v>10.64516129032258</v>
          </cell>
          <cell r="P463">
            <v>11.566666666666666</v>
          </cell>
          <cell r="Q463">
            <v>12.225806451612902</v>
          </cell>
          <cell r="R463">
            <v>13.451612903225804</v>
          </cell>
          <cell r="S463">
            <v>13.666666666666668</v>
          </cell>
          <cell r="T463">
            <v>13.419354838709676</v>
          </cell>
          <cell r="U463">
            <v>14.6</v>
          </cell>
          <cell r="V463">
            <v>14.741935483870966</v>
          </cell>
          <cell r="W463">
            <v>14.967741935483872</v>
          </cell>
          <cell r="X463">
            <v>14.827586206896553</v>
          </cell>
          <cell r="Y463">
            <v>14.709677419354838</v>
          </cell>
          <cell r="Z463">
            <v>14.666666666666666</v>
          </cell>
          <cell r="AA463">
            <v>15</v>
          </cell>
          <cell r="AB463">
            <v>14.533333333333335</v>
          </cell>
          <cell r="AC463">
            <v>13.870967741935484</v>
          </cell>
          <cell r="AD463">
            <v>13.903225806451614</v>
          </cell>
          <cell r="AE463">
            <v>14.2</v>
          </cell>
          <cell r="AF463">
            <v>11.354838709677418</v>
          </cell>
          <cell r="AG463">
            <v>13.033333333333333</v>
          </cell>
          <cell r="AH463">
            <v>13.161290322580646</v>
          </cell>
          <cell r="AI463">
            <v>11.806451612903228</v>
          </cell>
          <cell r="AJ463">
            <v>10.5</v>
          </cell>
          <cell r="AK463">
            <v>11.548387096774194</v>
          </cell>
          <cell r="AL463">
            <v>14.133333333333333</v>
          </cell>
          <cell r="AM463">
            <v>12.580645161290324</v>
          </cell>
          <cell r="AN463">
            <v>13.733333333333333</v>
          </cell>
          <cell r="AO463">
            <v>14.387096774193552</v>
          </cell>
          <cell r="AP463">
            <v>11.838709677419358</v>
          </cell>
          <cell r="AQ463">
            <v>10.4</v>
          </cell>
          <cell r="AR463">
            <v>13.161290322580644</v>
          </cell>
          <cell r="AS463">
            <v>13.233333333333333</v>
          </cell>
          <cell r="AT463">
            <v>11.354838709677418</v>
          </cell>
          <cell r="AU463">
            <v>11.451612903225804</v>
          </cell>
          <cell r="AV463">
            <v>13.892857142857144</v>
          </cell>
          <cell r="AW463">
            <v>13.258064516129034</v>
          </cell>
          <cell r="AX463">
            <v>14.1</v>
          </cell>
          <cell r="AY463">
            <v>14.35483870967742</v>
          </cell>
          <cell r="AZ463">
            <v>14.7</v>
          </cell>
        </row>
        <row r="464">
          <cell r="C464" t="str">
            <v>Key / Fall River / 62 County St 4</v>
          </cell>
          <cell r="D464" t="str">
            <v>New Bedford Area Office</v>
          </cell>
          <cell r="E464">
            <v>2.8387096774193545</v>
          </cell>
          <cell r="F464">
            <v>2.3870967741935485</v>
          </cell>
          <cell r="G464">
            <v>1.7666666666666666</v>
          </cell>
          <cell r="H464">
            <v>1.3548387096774195</v>
          </cell>
          <cell r="I464">
            <v>0.8</v>
          </cell>
          <cell r="J464">
            <v>0.87096774193548387</v>
          </cell>
          <cell r="K464">
            <v>0.32258064516129031</v>
          </cell>
          <cell r="O464">
            <v>3.2258064516129031E-2</v>
          </cell>
          <cell r="P464">
            <v>6.6666666666666666E-2</v>
          </cell>
          <cell r="Q464">
            <v>0.19354838709677419</v>
          </cell>
          <cell r="Z464">
            <v>0.1</v>
          </cell>
          <cell r="AJ464">
            <v>0.75</v>
          </cell>
          <cell r="AL464">
            <v>6.6666666666666666E-2</v>
          </cell>
          <cell r="AP464">
            <v>0.22580645161290322</v>
          </cell>
          <cell r="AQ464">
            <v>0.16666666666666669</v>
          </cell>
          <cell r="AR464">
            <v>9.6774193548387094E-2</v>
          </cell>
          <cell r="AW464">
            <v>0.90322580645161288</v>
          </cell>
          <cell r="AX464">
            <v>0.3</v>
          </cell>
          <cell r="AY464">
            <v>9.6774193548387094E-2</v>
          </cell>
        </row>
        <row r="465">
          <cell r="C465" t="str">
            <v>Key / Fall River / 62 County St 5</v>
          </cell>
          <cell r="D465" t="str">
            <v>New Bedford Child and Family (Adop)</v>
          </cell>
          <cell r="AC465">
            <v>1</v>
          </cell>
          <cell r="AD465">
            <v>0.80645161290322576</v>
          </cell>
          <cell r="AO465">
            <v>0.25806451612903225</v>
          </cell>
          <cell r="AP465">
            <v>1</v>
          </cell>
          <cell r="AQ465">
            <v>1</v>
          </cell>
          <cell r="AR465">
            <v>1</v>
          </cell>
          <cell r="AS465">
            <v>1</v>
          </cell>
          <cell r="AT465">
            <v>1</v>
          </cell>
          <cell r="AU465">
            <v>0.32258064516129031</v>
          </cell>
        </row>
        <row r="466">
          <cell r="C466" t="str">
            <v>Key / Fall River / 62 County St 6</v>
          </cell>
          <cell r="D466" t="str">
            <v>Plymouth Area Office</v>
          </cell>
          <cell r="I466">
            <v>0.73333333333333339</v>
          </cell>
          <cell r="J466">
            <v>0.967741935483871</v>
          </cell>
          <cell r="K466">
            <v>0.93548387096774188</v>
          </cell>
          <cell r="L466">
            <v>1</v>
          </cell>
          <cell r="M466">
            <v>1</v>
          </cell>
          <cell r="N466">
            <v>1</v>
          </cell>
          <cell r="O466">
            <v>1</v>
          </cell>
          <cell r="P466">
            <v>0.33333333333333331</v>
          </cell>
          <cell r="AF466">
            <v>0.12903225806451613</v>
          </cell>
          <cell r="AI466">
            <v>6.4516129032258063E-2</v>
          </cell>
          <cell r="AJ466">
            <v>3.5714285714285712E-2</v>
          </cell>
          <cell r="AK466">
            <v>9.6774193548387094E-2</v>
          </cell>
        </row>
        <row r="467">
          <cell r="C467" t="str">
            <v>Key / Fall River / 62 County St 7</v>
          </cell>
          <cell r="D467" t="str">
            <v>Taunton/Attleboro Area Office</v>
          </cell>
          <cell r="E467">
            <v>1.806451612903226</v>
          </cell>
          <cell r="F467">
            <v>3.193548387096774</v>
          </cell>
          <cell r="G467">
            <v>2.8666666666666667</v>
          </cell>
          <cell r="H467">
            <v>1.032258064516129</v>
          </cell>
          <cell r="AU467">
            <v>0.90322580645161288</v>
          </cell>
          <cell r="AV467">
            <v>0.14285714285714285</v>
          </cell>
        </row>
        <row r="468">
          <cell r="C468" t="str">
            <v>Key / Methuen / 175 Lowell St 1</v>
          </cell>
          <cell r="D468" t="str">
            <v>Cape Ann Area Office</v>
          </cell>
          <cell r="AE468">
            <v>0.5</v>
          </cell>
          <cell r="AI468">
            <v>0.12903225806451613</v>
          </cell>
        </row>
        <row r="469">
          <cell r="C469" t="str">
            <v>Key / Methuen / 175 Lowell St 2</v>
          </cell>
          <cell r="D469" t="str">
            <v>Haverhill Area Office</v>
          </cell>
          <cell r="O469">
            <v>0.19354838709677419</v>
          </cell>
          <cell r="S469">
            <v>0.4</v>
          </cell>
          <cell r="T469">
            <v>0.74193548387096775</v>
          </cell>
          <cell r="AJ469">
            <v>7.1428571428571425E-2</v>
          </cell>
          <cell r="AN469">
            <v>6.6666666666666666E-2</v>
          </cell>
          <cell r="AR469">
            <v>0.967741935483871</v>
          </cell>
          <cell r="AS469">
            <v>0.3</v>
          </cell>
        </row>
        <row r="470">
          <cell r="C470" t="str">
            <v>Key / Methuen / 175 Lowell St 3</v>
          </cell>
          <cell r="D470" t="str">
            <v>Lawrence Area Office</v>
          </cell>
          <cell r="E470">
            <v>10.838709677419356</v>
          </cell>
          <cell r="F470">
            <v>11.064516129032258</v>
          </cell>
          <cell r="G470">
            <v>9.9333333333333336</v>
          </cell>
          <cell r="H470">
            <v>9.4838709677419359</v>
          </cell>
          <cell r="I470">
            <v>9.8666666666666671</v>
          </cell>
          <cell r="J470">
            <v>10.548387096774194</v>
          </cell>
          <cell r="K470">
            <v>10.58064516129032</v>
          </cell>
          <cell r="L470">
            <v>9.4285714285714288</v>
          </cell>
          <cell r="M470">
            <v>10</v>
          </cell>
          <cell r="N470">
            <v>11.5</v>
          </cell>
          <cell r="O470">
            <v>10.548387096774192</v>
          </cell>
          <cell r="P470">
            <v>9.9666666666666668</v>
          </cell>
          <cell r="Q470">
            <v>10.61290322580645</v>
          </cell>
          <cell r="R470">
            <v>9.8387096774193576</v>
          </cell>
          <cell r="S470">
            <v>8.4</v>
          </cell>
          <cell r="T470">
            <v>8.3548387096774182</v>
          </cell>
          <cell r="U470">
            <v>10.666666666666666</v>
          </cell>
          <cell r="V470">
            <v>9.064516129032258</v>
          </cell>
          <cell r="W470">
            <v>5</v>
          </cell>
          <cell r="X470">
            <v>5.6206896551724128</v>
          </cell>
          <cell r="Y470">
            <v>4.6774193548387091</v>
          </cell>
          <cell r="Z470">
            <v>4.8333333333333339</v>
          </cell>
          <cell r="AA470">
            <v>4.4193548387096779</v>
          </cell>
          <cell r="AB470">
            <v>4.7</v>
          </cell>
          <cell r="AC470">
            <v>3.5161290322580645</v>
          </cell>
          <cell r="AD470">
            <v>3.6451612903225805</v>
          </cell>
          <cell r="AE470">
            <v>0.7</v>
          </cell>
          <cell r="AF470">
            <v>3.8064516129032255</v>
          </cell>
          <cell r="AG470">
            <v>5.0666666666666664</v>
          </cell>
          <cell r="AH470">
            <v>5.161290322580645</v>
          </cell>
          <cell r="AI470">
            <v>2.870967741935484</v>
          </cell>
          <cell r="AJ470">
            <v>5.0357142857142865</v>
          </cell>
          <cell r="AK470">
            <v>4.387096774193548</v>
          </cell>
          <cell r="AL470">
            <v>4.5</v>
          </cell>
          <cell r="AM470">
            <v>5.5806451612903221</v>
          </cell>
          <cell r="AN470">
            <v>5.166666666666667</v>
          </cell>
          <cell r="AO470">
            <v>3.8064516129032251</v>
          </cell>
          <cell r="AP470">
            <v>5.290322580645161</v>
          </cell>
          <cell r="AQ470">
            <v>4.4000000000000004</v>
          </cell>
          <cell r="AR470">
            <v>4.225806451612903</v>
          </cell>
          <cell r="AS470">
            <v>4.8</v>
          </cell>
          <cell r="AT470">
            <v>4.7096774193548381</v>
          </cell>
          <cell r="AU470">
            <v>4.903225806451613</v>
          </cell>
          <cell r="AV470">
            <v>3.964285714285714</v>
          </cell>
          <cell r="AW470">
            <v>4.064516129032258</v>
          </cell>
          <cell r="AX470">
            <v>5.1333333333333329</v>
          </cell>
          <cell r="AY470">
            <v>5.903225806451613</v>
          </cell>
          <cell r="AZ470">
            <v>5.3</v>
          </cell>
        </row>
        <row r="471">
          <cell r="C471" t="str">
            <v>Key / Methuen / 175 Lowell St 4</v>
          </cell>
          <cell r="D471" t="str">
            <v>Lowell Area Office</v>
          </cell>
          <cell r="R471">
            <v>0.70967741935483875</v>
          </cell>
          <cell r="S471">
            <v>0.3</v>
          </cell>
          <cell r="T471">
            <v>0.41935483870967744</v>
          </cell>
          <cell r="U471">
            <v>3.3333333333333333E-2</v>
          </cell>
          <cell r="AC471">
            <v>0.35483870967741937</v>
          </cell>
          <cell r="AD471">
            <v>0.19354838709677419</v>
          </cell>
          <cell r="AE471">
            <v>0.6333333333333333</v>
          </cell>
          <cell r="AF471">
            <v>0.967741935483871</v>
          </cell>
          <cell r="AG471">
            <v>6.6666666666666666E-2</v>
          </cell>
          <cell r="AH471">
            <v>0.19354838709677419</v>
          </cell>
          <cell r="AI471">
            <v>0.38709677419354838</v>
          </cell>
          <cell r="AJ471">
            <v>0.64285714285714279</v>
          </cell>
          <cell r="AK471">
            <v>0.29032258064516125</v>
          </cell>
          <cell r="AM471">
            <v>3.2258064516129031E-2</v>
          </cell>
          <cell r="AN471">
            <v>3.3333333333333333E-2</v>
          </cell>
          <cell r="AR471">
            <v>0.16129032258064516</v>
          </cell>
          <cell r="AW471">
            <v>0.77419354838709675</v>
          </cell>
          <cell r="AX471">
            <v>0.56666666666666665</v>
          </cell>
        </row>
        <row r="472">
          <cell r="C472" t="str">
            <v>Key / Methuen / 175 Lowell St 5</v>
          </cell>
          <cell r="D472" t="str">
            <v>Lynn Area Office</v>
          </cell>
          <cell r="AB472">
            <v>0.46666666666666667</v>
          </cell>
          <cell r="AN472">
            <v>3.3333333333333333E-2</v>
          </cell>
          <cell r="AO472">
            <v>1</v>
          </cell>
          <cell r="AP472">
            <v>0.54838709677419351</v>
          </cell>
        </row>
        <row r="473">
          <cell r="C473" t="str">
            <v>Key / Methuen / 175 Lowell St 6</v>
          </cell>
          <cell r="D473" t="str">
            <v>North Central Area Office</v>
          </cell>
          <cell r="E473">
            <v>0.5161290322580645</v>
          </cell>
        </row>
        <row r="474">
          <cell r="C474" t="str">
            <v>Key / Methuen / 175 Lowell St 7</v>
          </cell>
          <cell r="D474" t="str">
            <v>Worcester East Area Office</v>
          </cell>
          <cell r="AX474">
            <v>0.16666666666666666</v>
          </cell>
        </row>
        <row r="475">
          <cell r="C475" t="str">
            <v>Key / Methuen / 19 Mystic St 1</v>
          </cell>
          <cell r="D475" t="str">
            <v>Cape Ann Area Office</v>
          </cell>
          <cell r="AL475">
            <v>6.6666666666666666E-2</v>
          </cell>
          <cell r="AW475">
            <v>6.4516129032258063E-2</v>
          </cell>
        </row>
        <row r="476">
          <cell r="C476" t="str">
            <v>Key / Methuen / 19 Mystic St 2</v>
          </cell>
          <cell r="D476" t="str">
            <v>Haverhill Area Office</v>
          </cell>
          <cell r="AB476">
            <v>0.7</v>
          </cell>
          <cell r="AC476">
            <v>0.19354838709677419</v>
          </cell>
          <cell r="AE476">
            <v>0.33333333333333331</v>
          </cell>
          <cell r="AG476">
            <v>3.3333333333333333E-2</v>
          </cell>
          <cell r="AQ476">
            <v>0.33333333333333331</v>
          </cell>
          <cell r="AR476">
            <v>0.35483870967741937</v>
          </cell>
          <cell r="AU476">
            <v>0.32258064516129031</v>
          </cell>
          <cell r="AV476">
            <v>0.6071428571428571</v>
          </cell>
        </row>
        <row r="477">
          <cell r="C477" t="str">
            <v>Key / Methuen / 19 Mystic St 3</v>
          </cell>
          <cell r="D477" t="str">
            <v>Lawrence Area Office</v>
          </cell>
          <cell r="V477">
            <v>0.80645161290322576</v>
          </cell>
          <cell r="W477">
            <v>5.5161290322580649</v>
          </cell>
          <cell r="X477">
            <v>5.5862068965517242</v>
          </cell>
          <cell r="Y477">
            <v>5.4838709677419359</v>
          </cell>
          <cell r="Z477">
            <v>5.7666666666666666</v>
          </cell>
          <cell r="AA477">
            <v>4.8387096774193541</v>
          </cell>
          <cell r="AB477">
            <v>5.6</v>
          </cell>
          <cell r="AC477">
            <v>4.064516129032258</v>
          </cell>
          <cell r="AD477">
            <v>5.096774193548387</v>
          </cell>
          <cell r="AE477">
            <v>4.4666666666666659</v>
          </cell>
          <cell r="AF477">
            <v>5.935483870967742</v>
          </cell>
          <cell r="AG477">
            <v>4.4666666666666668</v>
          </cell>
          <cell r="AH477">
            <v>3.967741935483871</v>
          </cell>
          <cell r="AI477">
            <v>4.032258064516129</v>
          </cell>
          <cell r="AJ477">
            <v>4.1428571428571423</v>
          </cell>
          <cell r="AK477">
            <v>4.193548387096774</v>
          </cell>
          <cell r="AL477">
            <v>3.3333333333333335</v>
          </cell>
          <cell r="AM477">
            <v>5.387096774193548</v>
          </cell>
          <cell r="AN477">
            <v>4.4333333333333336</v>
          </cell>
          <cell r="AO477">
            <v>3.6451612903225805</v>
          </cell>
          <cell r="AP477">
            <v>5.5161290322580641</v>
          </cell>
          <cell r="AQ477">
            <v>5</v>
          </cell>
          <cell r="AR477">
            <v>3.290322580645161</v>
          </cell>
          <cell r="AS477">
            <v>3.7333333333333334</v>
          </cell>
          <cell r="AT477">
            <v>3.4838709677419355</v>
          </cell>
          <cell r="AU477">
            <v>3</v>
          </cell>
          <cell r="AV477">
            <v>4.3214285714285712</v>
          </cell>
          <cell r="AW477">
            <v>4.419354838709677</v>
          </cell>
          <cell r="AX477">
            <v>5.3666666666666671</v>
          </cell>
          <cell r="AY477">
            <v>5.6774193548387091</v>
          </cell>
          <cell r="AZ477">
            <v>5.8666666666666663</v>
          </cell>
        </row>
        <row r="478">
          <cell r="C478" t="str">
            <v>Key / Methuen / 19 Mystic St 4</v>
          </cell>
          <cell r="D478" t="str">
            <v>Lowell Area Office</v>
          </cell>
          <cell r="Y478">
            <v>6.4516129032258063E-2</v>
          </cell>
          <cell r="AA478">
            <v>0.12903225806451613</v>
          </cell>
          <cell r="AD478">
            <v>0.5161290322580645</v>
          </cell>
          <cell r="AE478">
            <v>1</v>
          </cell>
          <cell r="AF478">
            <v>6.4516129032258063E-2</v>
          </cell>
          <cell r="AG478">
            <v>3.3333333333333333E-2</v>
          </cell>
          <cell r="AH478">
            <v>1.161290322580645</v>
          </cell>
          <cell r="AI478">
            <v>1.096774193548387</v>
          </cell>
          <cell r="AJ478">
            <v>0.85714285714285721</v>
          </cell>
          <cell r="AK478">
            <v>0.29032258064516131</v>
          </cell>
          <cell r="AL478">
            <v>0.46666666666666667</v>
          </cell>
          <cell r="AM478">
            <v>9.6774193548387094E-2</v>
          </cell>
          <cell r="AN478">
            <v>0.1</v>
          </cell>
          <cell r="AP478">
            <v>9.6774193548387094E-2</v>
          </cell>
          <cell r="AR478">
            <v>0.35483870967741937</v>
          </cell>
          <cell r="AS478">
            <v>0.9</v>
          </cell>
          <cell r="AT478">
            <v>1</v>
          </cell>
          <cell r="AU478">
            <v>0.22580645161290322</v>
          </cell>
        </row>
        <row r="479">
          <cell r="C479" t="str">
            <v>Key / Methuen / 19 Mystic St 5</v>
          </cell>
          <cell r="D479" t="str">
            <v>Lynn Area Office</v>
          </cell>
          <cell r="AP479">
            <v>3.2258064516129031E-2</v>
          </cell>
        </row>
        <row r="480">
          <cell r="C480" t="str">
            <v>Key / Methuen / 19 Mystic St 6</v>
          </cell>
          <cell r="D480" t="str">
            <v>New Bedford Child and Family (Adop)</v>
          </cell>
          <cell r="AT480">
            <v>1</v>
          </cell>
          <cell r="AU480">
            <v>0.61290322580645162</v>
          </cell>
        </row>
        <row r="481">
          <cell r="C481" t="str">
            <v>Key / Methuen / 19 Mystic St 7</v>
          </cell>
          <cell r="D481" t="str">
            <v>South Central Area Office</v>
          </cell>
          <cell r="AL481">
            <v>0.2</v>
          </cell>
        </row>
        <row r="482">
          <cell r="C482" t="str">
            <v>Key / Pittsfield / 369 West St 1</v>
          </cell>
          <cell r="D482" t="str">
            <v>Framingham Area Office</v>
          </cell>
          <cell r="N482">
            <v>3.3333333333333333E-2</v>
          </cell>
        </row>
        <row r="483">
          <cell r="C483" t="str">
            <v>Key / Pittsfield / 369 West St 2</v>
          </cell>
          <cell r="D483" t="str">
            <v>Greenfield Area Office</v>
          </cell>
          <cell r="AH483">
            <v>6.4516129032258063E-2</v>
          </cell>
        </row>
        <row r="484">
          <cell r="C484" t="str">
            <v>Key / Pittsfield / 369 West St 3</v>
          </cell>
          <cell r="D484" t="str">
            <v>Holyoke Area Office</v>
          </cell>
          <cell r="L484">
            <v>0.8571428571428571</v>
          </cell>
          <cell r="M484">
            <v>0.12903225806451613</v>
          </cell>
          <cell r="AD484">
            <v>0.45161290322580644</v>
          </cell>
          <cell r="AE484">
            <v>0.1</v>
          </cell>
          <cell r="AG484">
            <v>0.33333333333333337</v>
          </cell>
          <cell r="AI484">
            <v>6.4516129032258063E-2</v>
          </cell>
          <cell r="AJ484">
            <v>3.5714285714285712E-2</v>
          </cell>
          <cell r="AK484">
            <v>9.6774193548387094E-2</v>
          </cell>
        </row>
        <row r="485">
          <cell r="C485" t="str">
            <v>Key / Pittsfield / 369 West St 4</v>
          </cell>
          <cell r="D485" t="str">
            <v>North Central Area Office</v>
          </cell>
          <cell r="AQ485">
            <v>0.2</v>
          </cell>
        </row>
        <row r="486">
          <cell r="C486" t="str">
            <v>Key / Pittsfield / 369 West St 5</v>
          </cell>
          <cell r="D486" t="str">
            <v>Pittsfield Area Office</v>
          </cell>
          <cell r="E486">
            <v>9.387096774193548</v>
          </cell>
          <cell r="F486">
            <v>10.838709677419354</v>
          </cell>
          <cell r="G486">
            <v>9.8666666666666671</v>
          </cell>
          <cell r="H486">
            <v>11</v>
          </cell>
          <cell r="I486">
            <v>10.3</v>
          </cell>
          <cell r="J486">
            <v>10.096774193548388</v>
          </cell>
          <cell r="K486">
            <v>11.387096774193544</v>
          </cell>
          <cell r="L486">
            <v>10.571428571428573</v>
          </cell>
          <cell r="M486">
            <v>11.32258064516129</v>
          </cell>
          <cell r="N486">
            <v>10.066666666666668</v>
          </cell>
          <cell r="O486">
            <v>11.096774193548388</v>
          </cell>
          <cell r="P486">
            <v>9.5333333333333314</v>
          </cell>
          <cell r="Q486">
            <v>11.193548387096774</v>
          </cell>
          <cell r="R486">
            <v>11.354838709677416</v>
          </cell>
          <cell r="S486">
            <v>11.4</v>
          </cell>
          <cell r="T486">
            <v>11.677419354838708</v>
          </cell>
          <cell r="U486">
            <v>11.266666666666667</v>
          </cell>
          <cell r="V486">
            <v>11.709677419354838</v>
          </cell>
          <cell r="W486">
            <v>11.838709677419354</v>
          </cell>
          <cell r="X486">
            <v>11.896551724137931</v>
          </cell>
          <cell r="Y486">
            <v>11.93548387096774</v>
          </cell>
          <cell r="Z486">
            <v>12.033333333333333</v>
          </cell>
          <cell r="AA486">
            <v>12</v>
          </cell>
          <cell r="AB486">
            <v>11.866666666666667</v>
          </cell>
          <cell r="AC486">
            <v>11.67741935483871</v>
          </cell>
          <cell r="AD486">
            <v>10.774193548387094</v>
          </cell>
          <cell r="AE486">
            <v>11.333333333333334</v>
          </cell>
          <cell r="AF486">
            <v>11.193548387096776</v>
          </cell>
          <cell r="AG486">
            <v>10.433333333333334</v>
          </cell>
          <cell r="AH486">
            <v>10.483870967741936</v>
          </cell>
          <cell r="AI486">
            <v>11.29032258064516</v>
          </cell>
          <cell r="AJ486">
            <v>11.464285714285717</v>
          </cell>
          <cell r="AK486">
            <v>11.612903225806456</v>
          </cell>
          <cell r="AL486">
            <v>11.766666666666666</v>
          </cell>
          <cell r="AM486">
            <v>11.741935483870966</v>
          </cell>
          <cell r="AN486">
            <v>11.866666666666667</v>
          </cell>
          <cell r="AO486">
            <v>10.74193548387097</v>
          </cell>
          <cell r="AP486">
            <v>11.193548387096776</v>
          </cell>
          <cell r="AQ486">
            <v>11.066666666666666</v>
          </cell>
          <cell r="AR486">
            <v>11.32258064516129</v>
          </cell>
          <cell r="AS486">
            <v>11.466666666666665</v>
          </cell>
          <cell r="AT486">
            <v>11.67741935483871</v>
          </cell>
          <cell r="AU486">
            <v>11.161290322580644</v>
          </cell>
          <cell r="AV486">
            <v>11.607142857142856</v>
          </cell>
          <cell r="AW486">
            <v>12.838709677419358</v>
          </cell>
          <cell r="AX486">
            <v>13.233333333333333</v>
          </cell>
          <cell r="AY486">
            <v>12.516129032258066</v>
          </cell>
          <cell r="AZ486">
            <v>12.8</v>
          </cell>
        </row>
        <row r="487">
          <cell r="C487" t="str">
            <v>Key / Pittsfield / 369 West St 6</v>
          </cell>
          <cell r="D487" t="str">
            <v>Robert Van Wart Area Office</v>
          </cell>
          <cell r="Q487">
            <v>9.6774193548387094E-2</v>
          </cell>
          <cell r="S487">
            <v>0.1</v>
          </cell>
          <cell r="V487">
            <v>3.2258064516129031E-2</v>
          </cell>
          <cell r="X487">
            <v>3.4482758620689655E-2</v>
          </cell>
          <cell r="Y487">
            <v>9.6774193548387094E-2</v>
          </cell>
          <cell r="AB487">
            <v>0.1</v>
          </cell>
          <cell r="AF487">
            <v>0.16129032258064516</v>
          </cell>
          <cell r="AH487">
            <v>0.45161290322580644</v>
          </cell>
          <cell r="AQ487">
            <v>6.6666666666666666E-2</v>
          </cell>
          <cell r="AR487">
            <v>0.25806451612903225</v>
          </cell>
          <cell r="AX487">
            <v>3.3333333333333333E-2</v>
          </cell>
        </row>
        <row r="488">
          <cell r="C488" t="str">
            <v>Key / Pittsfield / 369 West St 7</v>
          </cell>
          <cell r="D488" t="str">
            <v>Springfield Area Office</v>
          </cell>
          <cell r="Q488">
            <v>0.29032258064516131</v>
          </cell>
          <cell r="AD488">
            <v>9.6774193548387094E-2</v>
          </cell>
          <cell r="AE488">
            <v>3.3333333333333333E-2</v>
          </cell>
          <cell r="AH488">
            <v>3.2258064516129031E-2</v>
          </cell>
          <cell r="AO488">
            <v>6.4516129032258063E-2</v>
          </cell>
        </row>
        <row r="489">
          <cell r="C489" t="str">
            <v>Key / Worcester / 2 Norton St 1</v>
          </cell>
          <cell r="D489" t="str">
            <v>North Central Area Office</v>
          </cell>
          <cell r="E489">
            <v>1.870967741935484</v>
          </cell>
          <cell r="F489">
            <v>1.7419354838709675</v>
          </cell>
          <cell r="G489">
            <v>0.8</v>
          </cell>
          <cell r="M489">
            <v>0.29032258064516131</v>
          </cell>
          <cell r="N489">
            <v>0.13333333333333333</v>
          </cell>
          <cell r="Q489">
            <v>0.19354838709677419</v>
          </cell>
          <cell r="R489">
            <v>1</v>
          </cell>
          <cell r="S489">
            <v>0.4</v>
          </cell>
          <cell r="AF489">
            <v>0.41935483870967744</v>
          </cell>
          <cell r="AS489">
            <v>3.3333333333333333E-2</v>
          </cell>
          <cell r="AT489">
            <v>0.80645161290322576</v>
          </cell>
          <cell r="AU489">
            <v>1</v>
          </cell>
          <cell r="AV489">
            <v>1</v>
          </cell>
        </row>
        <row r="490">
          <cell r="C490" t="str">
            <v>Key / Worcester / 2 Norton St 2</v>
          </cell>
          <cell r="D490" t="str">
            <v>South Central Area Office</v>
          </cell>
          <cell r="E490">
            <v>1</v>
          </cell>
          <cell r="F490">
            <v>1.096774193548387</v>
          </cell>
          <cell r="G490">
            <v>1.8</v>
          </cell>
          <cell r="H490">
            <v>1.8387096774193548</v>
          </cell>
          <cell r="I490">
            <v>1.8</v>
          </cell>
          <cell r="J490">
            <v>1.032258064516129</v>
          </cell>
          <cell r="K490">
            <v>1.7741935483870968</v>
          </cell>
          <cell r="L490">
            <v>1.4285714285714286</v>
          </cell>
          <cell r="M490">
            <v>2</v>
          </cell>
          <cell r="N490">
            <v>2.2333333333333334</v>
          </cell>
          <cell r="O490">
            <v>3</v>
          </cell>
          <cell r="P490">
            <v>2.5333333333333332</v>
          </cell>
          <cell r="Q490">
            <v>3.2258064516129031E-2</v>
          </cell>
          <cell r="R490">
            <v>0.32258064516129031</v>
          </cell>
          <cell r="S490">
            <v>2.2666666666666666</v>
          </cell>
          <cell r="T490">
            <v>3</v>
          </cell>
          <cell r="U490">
            <v>3</v>
          </cell>
          <cell r="V490">
            <v>2.5806451612903225</v>
          </cell>
          <cell r="W490">
            <v>2.741935483870968</v>
          </cell>
          <cell r="X490">
            <v>2.9655172413793105</v>
          </cell>
          <cell r="Y490">
            <v>3.67741935483871</v>
          </cell>
          <cell r="Z490">
            <v>4</v>
          </cell>
          <cell r="AA490">
            <v>4</v>
          </cell>
          <cell r="AB490">
            <v>3.0333333333333332</v>
          </cell>
          <cell r="AC490">
            <v>2.6774193548387095</v>
          </cell>
          <cell r="AD490">
            <v>2.7419354838709675</v>
          </cell>
          <cell r="AE490">
            <v>2.4</v>
          </cell>
          <cell r="AF490">
            <v>2</v>
          </cell>
          <cell r="AG490">
            <v>2</v>
          </cell>
          <cell r="AH490">
            <v>1.5483870967741935</v>
          </cell>
          <cell r="AI490">
            <v>1</v>
          </cell>
          <cell r="AJ490">
            <v>0.8571428571428571</v>
          </cell>
          <cell r="AL490">
            <v>0.56666666666666665</v>
          </cell>
          <cell r="AM490">
            <v>1.8064516129032258</v>
          </cell>
          <cell r="AN490">
            <v>2.6</v>
          </cell>
          <cell r="AO490">
            <v>1.6774193548387095</v>
          </cell>
          <cell r="AP490">
            <v>1.2580645161290323</v>
          </cell>
          <cell r="AQ490">
            <v>1.7666666666666666</v>
          </cell>
          <cell r="AR490">
            <v>3</v>
          </cell>
          <cell r="AS490">
            <v>3</v>
          </cell>
          <cell r="AT490">
            <v>2.6774193548387095</v>
          </cell>
          <cell r="AU490">
            <v>1.870967741935484</v>
          </cell>
          <cell r="AV490">
            <v>1.7857142857142858</v>
          </cell>
          <cell r="AW490">
            <v>1.967741935483871</v>
          </cell>
          <cell r="AX490">
            <v>2.2333333333333334</v>
          </cell>
          <cell r="AY490">
            <v>3.32258064516129</v>
          </cell>
          <cell r="AZ490">
            <v>3.9333333333333331</v>
          </cell>
        </row>
        <row r="491">
          <cell r="C491" t="str">
            <v>Key / Worcester / 2 Norton St 3</v>
          </cell>
          <cell r="D491" t="str">
            <v>Taunton/Attleboro Area Office</v>
          </cell>
          <cell r="Q491">
            <v>0.22580645161290322</v>
          </cell>
        </row>
        <row r="492">
          <cell r="C492" t="str">
            <v>Key / Worcester / 2 Norton St 4</v>
          </cell>
          <cell r="D492" t="str">
            <v>Worcester East Area Office</v>
          </cell>
          <cell r="E492">
            <v>4.580645161290323</v>
          </cell>
          <cell r="F492">
            <v>3.4838709677419355</v>
          </cell>
          <cell r="G492">
            <v>2.4666666666666668</v>
          </cell>
          <cell r="H492">
            <v>3.935483870967742</v>
          </cell>
          <cell r="I492">
            <v>3.8</v>
          </cell>
          <cell r="J492">
            <v>4.387096774193548</v>
          </cell>
          <cell r="K492">
            <v>4.129032258064516</v>
          </cell>
          <cell r="L492">
            <v>4.0357142857142856</v>
          </cell>
          <cell r="M492">
            <v>3.838709677419355</v>
          </cell>
          <cell r="N492">
            <v>4</v>
          </cell>
          <cell r="O492">
            <v>4.225806451612903</v>
          </cell>
          <cell r="P492">
            <v>3.9666666666666668</v>
          </cell>
          <cell r="Q492">
            <v>3.6451612903225805</v>
          </cell>
          <cell r="R492">
            <v>4.4516129032258061</v>
          </cell>
          <cell r="S492">
            <v>4.0333333333333332</v>
          </cell>
          <cell r="T492">
            <v>3.741935483870968</v>
          </cell>
          <cell r="U492">
            <v>4</v>
          </cell>
          <cell r="V492">
            <v>3.9677419354838706</v>
          </cell>
          <cell r="W492">
            <v>3.903225806451613</v>
          </cell>
          <cell r="X492">
            <v>4</v>
          </cell>
          <cell r="Y492">
            <v>3.2258064516129035</v>
          </cell>
          <cell r="Z492">
            <v>2.5</v>
          </cell>
          <cell r="AA492">
            <v>2.806451612903226</v>
          </cell>
          <cell r="AB492">
            <v>3.8</v>
          </cell>
          <cell r="AC492">
            <v>3.935483870967742</v>
          </cell>
          <cell r="AD492">
            <v>3.806451612903226</v>
          </cell>
          <cell r="AE492">
            <v>4.166666666666667</v>
          </cell>
          <cell r="AF492">
            <v>3.5161290322580645</v>
          </cell>
          <cell r="AG492">
            <v>3.6</v>
          </cell>
          <cell r="AH492">
            <v>3.4838709677419355</v>
          </cell>
          <cell r="AI492">
            <v>3.967741935483871</v>
          </cell>
          <cell r="AJ492">
            <v>4.3571428571428577</v>
          </cell>
          <cell r="AK492">
            <v>4.5483870967741939</v>
          </cell>
          <cell r="AL492">
            <v>5.9666666666666668</v>
          </cell>
          <cell r="AM492">
            <v>5.096774193548387</v>
          </cell>
          <cell r="AN492">
            <v>4.833333333333333</v>
          </cell>
          <cell r="AO492">
            <v>4.5483870967741939</v>
          </cell>
          <cell r="AP492">
            <v>3.612903225806452</v>
          </cell>
          <cell r="AQ492">
            <v>3.0666666666666664</v>
          </cell>
          <cell r="AR492">
            <v>3.6774193548387095</v>
          </cell>
          <cell r="AS492">
            <v>3.6666666666666665</v>
          </cell>
          <cell r="AT492">
            <v>1.5161290322580645</v>
          </cell>
          <cell r="AU492">
            <v>2.4838709677419355</v>
          </cell>
          <cell r="AV492">
            <v>3.8571428571428568</v>
          </cell>
          <cell r="AW492">
            <v>3.5806451612903225</v>
          </cell>
          <cell r="AX492">
            <v>4.6333333333333329</v>
          </cell>
          <cell r="AY492">
            <v>4.5483870967741939</v>
          </cell>
          <cell r="AZ492">
            <v>4</v>
          </cell>
        </row>
        <row r="493">
          <cell r="C493" t="str">
            <v>Key / Worcester / 2 Norton St 5</v>
          </cell>
          <cell r="D493" t="str">
            <v>Worcester West Area Office</v>
          </cell>
          <cell r="E493">
            <v>0.4838709677419355</v>
          </cell>
          <cell r="F493">
            <v>1.8064516129032255</v>
          </cell>
          <cell r="G493">
            <v>2</v>
          </cell>
          <cell r="H493">
            <v>2</v>
          </cell>
          <cell r="I493">
            <v>1.4</v>
          </cell>
          <cell r="J493">
            <v>2.8709677419354835</v>
          </cell>
          <cell r="K493">
            <v>3</v>
          </cell>
          <cell r="L493">
            <v>3</v>
          </cell>
          <cell r="M493">
            <v>2.5483870967741935</v>
          </cell>
          <cell r="N493">
            <v>2.7666666666666666</v>
          </cell>
          <cell r="O493">
            <v>2.709677419354839</v>
          </cell>
          <cell r="P493">
            <v>2.8</v>
          </cell>
          <cell r="Q493">
            <v>2.3870967741935485</v>
          </cell>
          <cell r="R493">
            <v>2.5483870967741935</v>
          </cell>
          <cell r="S493">
            <v>2.8666666666666667</v>
          </cell>
          <cell r="T493">
            <v>2.4516129032258065</v>
          </cell>
          <cell r="U493">
            <v>2.9333333333333336</v>
          </cell>
          <cell r="V493">
            <v>2.935483870967742</v>
          </cell>
          <cell r="W493">
            <v>2.838709677419355</v>
          </cell>
          <cell r="X493">
            <v>3</v>
          </cell>
          <cell r="Y493">
            <v>3</v>
          </cell>
          <cell r="Z493">
            <v>3</v>
          </cell>
          <cell r="AA493">
            <v>3</v>
          </cell>
          <cell r="AB493">
            <v>2.8</v>
          </cell>
          <cell r="AC493">
            <v>2.7741935483870965</v>
          </cell>
          <cell r="AD493">
            <v>3</v>
          </cell>
          <cell r="AE493">
            <v>2.833333333333333</v>
          </cell>
          <cell r="AF493">
            <v>1.935483870967742</v>
          </cell>
          <cell r="AG493">
            <v>1</v>
          </cell>
          <cell r="AH493">
            <v>3</v>
          </cell>
          <cell r="AI493">
            <v>2.5806451612903225</v>
          </cell>
          <cell r="AJ493">
            <v>2.4642857142857144</v>
          </cell>
          <cell r="AK493">
            <v>2.709677419354839</v>
          </cell>
          <cell r="AL493">
            <v>2.8</v>
          </cell>
          <cell r="AM493">
            <v>2.709677419354839</v>
          </cell>
          <cell r="AN493">
            <v>1.7333333333333334</v>
          </cell>
          <cell r="AO493">
            <v>3</v>
          </cell>
          <cell r="AP493">
            <v>3</v>
          </cell>
          <cell r="AQ493">
            <v>3</v>
          </cell>
          <cell r="AR493">
            <v>3</v>
          </cell>
          <cell r="AS493">
            <v>2.6333333333333333</v>
          </cell>
          <cell r="AT493">
            <v>2.7741935483870965</v>
          </cell>
          <cell r="AU493">
            <v>3</v>
          </cell>
          <cell r="AV493">
            <v>3</v>
          </cell>
          <cell r="AW493">
            <v>2.129032258064516</v>
          </cell>
          <cell r="AX493">
            <v>2.5</v>
          </cell>
          <cell r="AY493">
            <v>2</v>
          </cell>
          <cell r="AZ493">
            <v>2</v>
          </cell>
        </row>
        <row r="494">
          <cell r="C494" t="str">
            <v>LUK / Fitchburg / 101 South St 1</v>
          </cell>
          <cell r="D494" t="str">
            <v>Children's Friends Inc. (Adop)</v>
          </cell>
          <cell r="AV494">
            <v>0.6071428571428571</v>
          </cell>
          <cell r="AW494">
            <v>1</v>
          </cell>
          <cell r="AX494">
            <v>0.96666666666666667</v>
          </cell>
        </row>
        <row r="495">
          <cell r="C495" t="str">
            <v>LUK / Fitchburg / 101 South St 2</v>
          </cell>
          <cell r="D495" t="str">
            <v>Greenfield Area Office</v>
          </cell>
          <cell r="AJ495">
            <v>1</v>
          </cell>
          <cell r="AK495">
            <v>1</v>
          </cell>
          <cell r="AL495">
            <v>0.6</v>
          </cell>
        </row>
        <row r="496">
          <cell r="C496" t="str">
            <v>LUK / Fitchburg / 101 South St 3</v>
          </cell>
          <cell r="D496" t="str">
            <v>Haverhill Area Office</v>
          </cell>
          <cell r="O496">
            <v>0.22580645161290322</v>
          </cell>
        </row>
        <row r="497">
          <cell r="C497" t="str">
            <v>LUK / Fitchburg / 101 South St 4</v>
          </cell>
          <cell r="D497" t="str">
            <v>Lowell Area Office</v>
          </cell>
          <cell r="AG497">
            <v>1</v>
          </cell>
          <cell r="AH497">
            <v>0.967741935483871</v>
          </cell>
        </row>
        <row r="498">
          <cell r="C498" t="str">
            <v>LUK / Fitchburg / 101 South St 5</v>
          </cell>
          <cell r="D498" t="str">
            <v>Lutherans (Adop)</v>
          </cell>
          <cell r="AG498">
            <v>3.3333333333333333E-2</v>
          </cell>
        </row>
        <row r="499">
          <cell r="C499" t="str">
            <v>LUK / Fitchburg / 101 South St 6</v>
          </cell>
          <cell r="D499" t="str">
            <v>North Central Area Office</v>
          </cell>
          <cell r="E499">
            <v>3.4193548387096775</v>
          </cell>
          <cell r="F499">
            <v>4</v>
          </cell>
          <cell r="G499">
            <v>3.5</v>
          </cell>
          <cell r="H499">
            <v>2.3548387096774195</v>
          </cell>
          <cell r="I499">
            <v>3</v>
          </cell>
          <cell r="J499">
            <v>2.5483870967741935</v>
          </cell>
          <cell r="K499">
            <v>2</v>
          </cell>
          <cell r="L499">
            <v>2.7857142857142856</v>
          </cell>
          <cell r="M499">
            <v>3.8387096774193545</v>
          </cell>
          <cell r="N499">
            <v>3.5333333333333332</v>
          </cell>
          <cell r="O499">
            <v>2.6774193548387095</v>
          </cell>
          <cell r="P499">
            <v>4.4666666666666668</v>
          </cell>
          <cell r="Q499">
            <v>5.5483870967741939</v>
          </cell>
          <cell r="R499">
            <v>6.161290322580645</v>
          </cell>
          <cell r="S499">
            <v>6</v>
          </cell>
          <cell r="T499">
            <v>5.5806451612903221</v>
          </cell>
          <cell r="U499">
            <v>5.8666666666666671</v>
          </cell>
          <cell r="V499">
            <v>5.967741935483871</v>
          </cell>
          <cell r="W499">
            <v>5.258064516129032</v>
          </cell>
          <cell r="X499">
            <v>6</v>
          </cell>
          <cell r="Y499">
            <v>5.741935483870968</v>
          </cell>
          <cell r="Z499">
            <v>5.6666666666666661</v>
          </cell>
          <cell r="AA499">
            <v>5</v>
          </cell>
          <cell r="AB499">
            <v>5.1666666666666661</v>
          </cell>
          <cell r="AC499">
            <v>5.935483870967742</v>
          </cell>
          <cell r="AD499">
            <v>5.7741935483870961</v>
          </cell>
          <cell r="AE499">
            <v>5.6</v>
          </cell>
          <cell r="AF499">
            <v>6.096774193548387</v>
          </cell>
          <cell r="AG499">
            <v>4.3666666666666671</v>
          </cell>
          <cell r="AH499">
            <v>3.354838709677419</v>
          </cell>
          <cell r="AI499">
            <v>5.193548387096774</v>
          </cell>
          <cell r="AJ499">
            <v>5.0357142857142856</v>
          </cell>
          <cell r="AK499">
            <v>4.774193548387097</v>
          </cell>
          <cell r="AL499">
            <v>4.3</v>
          </cell>
          <cell r="AM499">
            <v>5</v>
          </cell>
          <cell r="AN499">
            <v>2.8</v>
          </cell>
          <cell r="AO499">
            <v>3.161290322580645</v>
          </cell>
          <cell r="AP499">
            <v>4.935483870967742</v>
          </cell>
          <cell r="AQ499">
            <v>5.0666666666666664</v>
          </cell>
          <cell r="AR499">
            <v>3.9677419354838706</v>
          </cell>
          <cell r="AS499">
            <v>4.833333333333333</v>
          </cell>
          <cell r="AT499">
            <v>5.419354838709677</v>
          </cell>
          <cell r="AU499">
            <v>5.290322580645161</v>
          </cell>
          <cell r="AV499">
            <v>2.2857142857142856</v>
          </cell>
          <cell r="AW499">
            <v>3.193548387096774</v>
          </cell>
          <cell r="AX499">
            <v>4.3</v>
          </cell>
          <cell r="AY499">
            <v>5.096774193548387</v>
          </cell>
          <cell r="AZ499">
            <v>6.1</v>
          </cell>
        </row>
        <row r="500">
          <cell r="C500" t="str">
            <v>LUK / Fitchburg / 101 South St 7</v>
          </cell>
          <cell r="D500" t="str">
            <v>South Central Area Office</v>
          </cell>
          <cell r="F500">
            <v>6.4516129032258063E-2</v>
          </cell>
          <cell r="G500">
            <v>0.13333333333333333</v>
          </cell>
          <cell r="H500">
            <v>0.45161290322580644</v>
          </cell>
          <cell r="I500">
            <v>0.5</v>
          </cell>
          <cell r="J500">
            <v>1.064516129032258</v>
          </cell>
          <cell r="K500">
            <v>1</v>
          </cell>
          <cell r="L500">
            <v>0.64285714285714279</v>
          </cell>
          <cell r="N500">
            <v>6.6666666666666666E-2</v>
          </cell>
          <cell r="AF500">
            <v>6.4516129032258063E-2</v>
          </cell>
          <cell r="AK500">
            <v>3.2258064516129031E-2</v>
          </cell>
          <cell r="AM500">
            <v>9.6774193548387094E-2</v>
          </cell>
          <cell r="AN500">
            <v>0.23333333333333334</v>
          </cell>
        </row>
        <row r="501">
          <cell r="C501" t="str">
            <v>LUK / Fitchburg / 101 South St 8</v>
          </cell>
          <cell r="D501" t="str">
            <v>Worcester East Area Office</v>
          </cell>
          <cell r="E501">
            <v>1.0322580645161292</v>
          </cell>
          <cell r="F501">
            <v>1.064516129032258</v>
          </cell>
          <cell r="G501">
            <v>1.1666666666666667</v>
          </cell>
          <cell r="H501">
            <v>1.838709677419355</v>
          </cell>
          <cell r="I501">
            <v>2</v>
          </cell>
          <cell r="J501">
            <v>2</v>
          </cell>
          <cell r="K501">
            <v>1.5483870967741935</v>
          </cell>
          <cell r="L501">
            <v>0.8214285714285714</v>
          </cell>
          <cell r="M501">
            <v>1</v>
          </cell>
          <cell r="N501">
            <v>0.9</v>
          </cell>
          <cell r="O501">
            <v>3.2258064516129031E-2</v>
          </cell>
          <cell r="R501">
            <v>0.12903225806451613</v>
          </cell>
          <cell r="S501">
            <v>3.3333333333333333E-2</v>
          </cell>
          <cell r="AA501">
            <v>3.2258064516129031E-2</v>
          </cell>
          <cell r="AH501">
            <v>0.90322580645161288</v>
          </cell>
          <cell r="AI501">
            <v>0.19354838709677419</v>
          </cell>
          <cell r="AN501">
            <v>0.46666666666666667</v>
          </cell>
          <cell r="AR501">
            <v>0.58064516129032262</v>
          </cell>
          <cell r="AX501">
            <v>6.6666666666666666E-2</v>
          </cell>
          <cell r="AY501">
            <v>0.22580645161290322</v>
          </cell>
        </row>
        <row r="502">
          <cell r="C502" t="str">
            <v>LUK / Fitchburg / 101 South St 9</v>
          </cell>
          <cell r="D502" t="str">
            <v>Worcester West Area Office</v>
          </cell>
          <cell r="E502">
            <v>1.064516129032258</v>
          </cell>
          <cell r="F502">
            <v>1.032258064516129</v>
          </cell>
          <cell r="G502">
            <v>0.8666666666666667</v>
          </cell>
          <cell r="H502">
            <v>1.096774193548387</v>
          </cell>
          <cell r="I502">
            <v>1.0333333333333334</v>
          </cell>
          <cell r="J502">
            <v>0.41935483870967744</v>
          </cell>
          <cell r="K502">
            <v>0.87096774193548387</v>
          </cell>
          <cell r="L502">
            <v>0.9285714285714286</v>
          </cell>
          <cell r="M502">
            <v>0.41935483870967744</v>
          </cell>
          <cell r="N502">
            <v>1</v>
          </cell>
          <cell r="O502">
            <v>1.032258064516129</v>
          </cell>
          <cell r="P502">
            <v>1</v>
          </cell>
          <cell r="Q502">
            <v>1</v>
          </cell>
          <cell r="R502">
            <v>1</v>
          </cell>
          <cell r="S502">
            <v>1.0333333333333334</v>
          </cell>
          <cell r="T502">
            <v>0.90322580645161288</v>
          </cell>
          <cell r="U502">
            <v>0.16666666666666666</v>
          </cell>
          <cell r="V502">
            <v>1</v>
          </cell>
          <cell r="W502">
            <v>1</v>
          </cell>
          <cell r="X502">
            <v>1</v>
          </cell>
          <cell r="Y502">
            <v>1</v>
          </cell>
          <cell r="Z502">
            <v>1.1000000000000001</v>
          </cell>
          <cell r="AA502">
            <v>1</v>
          </cell>
          <cell r="AB502">
            <v>1</v>
          </cell>
          <cell r="AC502">
            <v>0.80645161290322576</v>
          </cell>
          <cell r="AD502">
            <v>1</v>
          </cell>
          <cell r="AE502">
            <v>1.1333333333333333</v>
          </cell>
          <cell r="AF502">
            <v>0.93548387096774188</v>
          </cell>
          <cell r="AG502">
            <v>0.33333333333333331</v>
          </cell>
          <cell r="AH502">
            <v>1</v>
          </cell>
          <cell r="AI502">
            <v>1</v>
          </cell>
          <cell r="AJ502">
            <v>0.9642857142857143</v>
          </cell>
          <cell r="AK502">
            <v>3.2258064516129031E-2</v>
          </cell>
          <cell r="AL502">
            <v>0.26666666666666666</v>
          </cell>
          <cell r="AM502">
            <v>1.2903225806451613</v>
          </cell>
          <cell r="AN502">
            <v>1.2666666666666666</v>
          </cell>
          <cell r="AO502">
            <v>1.1935483870967742</v>
          </cell>
          <cell r="AP502">
            <v>1</v>
          </cell>
          <cell r="AQ502">
            <v>6.6666666666666666E-2</v>
          </cell>
          <cell r="AR502">
            <v>0.61290322580645162</v>
          </cell>
          <cell r="AS502">
            <v>1</v>
          </cell>
          <cell r="AT502">
            <v>1</v>
          </cell>
          <cell r="AU502">
            <v>1</v>
          </cell>
          <cell r="AV502">
            <v>0.35714285714285715</v>
          </cell>
          <cell r="AX502">
            <v>3.3333333333333333E-2</v>
          </cell>
          <cell r="AY502">
            <v>1.032258064516129</v>
          </cell>
          <cell r="AZ502">
            <v>0.56666666666666665</v>
          </cell>
        </row>
        <row r="503">
          <cell r="C503" t="str">
            <v>LUK / Fitchburg / 102 Day Street 1</v>
          </cell>
          <cell r="D503" t="str">
            <v>North Central Area Office</v>
          </cell>
          <cell r="E503">
            <v>0.87096774193548387</v>
          </cell>
          <cell r="F503">
            <v>1</v>
          </cell>
          <cell r="G503">
            <v>1</v>
          </cell>
          <cell r="H503">
            <v>0.87096774193548387</v>
          </cell>
          <cell r="I503">
            <v>1.3333333333333333</v>
          </cell>
          <cell r="J503">
            <v>1</v>
          </cell>
          <cell r="K503">
            <v>0.58064516129032262</v>
          </cell>
          <cell r="L503">
            <v>1</v>
          </cell>
          <cell r="M503">
            <v>1</v>
          </cell>
          <cell r="N503">
            <v>1.9666666666666668</v>
          </cell>
          <cell r="O503">
            <v>2.709677419354839</v>
          </cell>
          <cell r="P503">
            <v>2.5</v>
          </cell>
          <cell r="Q503">
            <v>1.3225806451612903</v>
          </cell>
          <cell r="R503">
            <v>1.1935483870967742</v>
          </cell>
          <cell r="S503">
            <v>1.6</v>
          </cell>
          <cell r="T503">
            <v>2.064516129032258</v>
          </cell>
          <cell r="U503">
            <v>2.0666666666666669</v>
          </cell>
          <cell r="V503">
            <v>1.8387096774193548</v>
          </cell>
          <cell r="W503">
            <v>2</v>
          </cell>
          <cell r="X503">
            <v>1.8620689655172415</v>
          </cell>
          <cell r="Y503">
            <v>0.4838709677419355</v>
          </cell>
          <cell r="AA503">
            <v>0.83870967741935476</v>
          </cell>
          <cell r="AB503">
            <v>2.8666666666666667</v>
          </cell>
          <cell r="AC503">
            <v>4.032258064516129</v>
          </cell>
          <cell r="AD503">
            <v>3.3225806451612905</v>
          </cell>
          <cell r="AE503">
            <v>2.8333333333333335</v>
          </cell>
          <cell r="AF503">
            <v>3.774193548387097</v>
          </cell>
          <cell r="AG503">
            <v>4.2333333333333334</v>
          </cell>
          <cell r="AH503">
            <v>4</v>
          </cell>
          <cell r="AI503">
            <v>3.8064516129032255</v>
          </cell>
          <cell r="AJ503">
            <v>3.8214285714285716</v>
          </cell>
          <cell r="AK503">
            <v>3.645161290322581</v>
          </cell>
          <cell r="AL503">
            <v>3.5</v>
          </cell>
          <cell r="AM503">
            <v>3.5806451612903225</v>
          </cell>
          <cell r="AN503">
            <v>3.4</v>
          </cell>
          <cell r="AO503">
            <v>3.709677419354839</v>
          </cell>
          <cell r="AP503">
            <v>2.4193548387096775</v>
          </cell>
        </row>
        <row r="504">
          <cell r="C504" t="str">
            <v>LUK / Fitchburg / 102 Day Street 2</v>
          </cell>
          <cell r="D504" t="str">
            <v>South Central Area Office</v>
          </cell>
          <cell r="F504">
            <v>6.4516129032258063E-2</v>
          </cell>
          <cell r="G504">
            <v>0.2</v>
          </cell>
          <cell r="H504">
            <v>0.32258064516129031</v>
          </cell>
          <cell r="I504">
            <v>1.0666666666666667</v>
          </cell>
          <cell r="J504">
            <v>0.61290322580645162</v>
          </cell>
          <cell r="K504">
            <v>0.93548387096774188</v>
          </cell>
          <cell r="L504">
            <v>0.39285714285714285</v>
          </cell>
          <cell r="M504">
            <v>0.83870967741935487</v>
          </cell>
          <cell r="Q504">
            <v>0.12903225806451613</v>
          </cell>
          <cell r="R504">
            <v>0.5161290322580645</v>
          </cell>
          <cell r="S504">
            <v>0.1</v>
          </cell>
          <cell r="T504">
            <v>3.2258064516129031E-2</v>
          </cell>
          <cell r="U504">
            <v>0.73333333333333328</v>
          </cell>
          <cell r="V504">
            <v>0.70967741935483863</v>
          </cell>
          <cell r="W504">
            <v>6.4516129032258063E-2</v>
          </cell>
          <cell r="Y504">
            <v>0.16129032258064516</v>
          </cell>
          <cell r="AC504">
            <v>0.58064516129032262</v>
          </cell>
          <cell r="AD504">
            <v>1.1612903225806452</v>
          </cell>
          <cell r="AE504">
            <v>0.96666666666666667</v>
          </cell>
          <cell r="AF504">
            <v>1</v>
          </cell>
          <cell r="AG504">
            <v>0.83333333333333326</v>
          </cell>
        </row>
        <row r="505">
          <cell r="C505" t="str">
            <v>LUK / Fitchburg / 102 Day Street 3</v>
          </cell>
          <cell r="D505" t="str">
            <v>Worcester East Area Office</v>
          </cell>
          <cell r="E505">
            <v>0.35483870967741937</v>
          </cell>
          <cell r="F505">
            <v>0.25806451612903225</v>
          </cell>
          <cell r="G505">
            <v>0.93333333333333335</v>
          </cell>
          <cell r="H505">
            <v>0.67741935483870963</v>
          </cell>
          <cell r="I505">
            <v>0.66666666666666663</v>
          </cell>
          <cell r="J505">
            <v>0.25806451612903225</v>
          </cell>
          <cell r="K505">
            <v>0.70967741935483875</v>
          </cell>
          <cell r="L505">
            <v>0.8571428571428571</v>
          </cell>
          <cell r="M505">
            <v>0.967741935483871</v>
          </cell>
          <cell r="N505">
            <v>0.7</v>
          </cell>
          <cell r="O505">
            <v>0.70967741935483875</v>
          </cell>
          <cell r="P505">
            <v>0.23333333333333334</v>
          </cell>
          <cell r="Q505">
            <v>0.74193548387096775</v>
          </cell>
          <cell r="R505">
            <v>1</v>
          </cell>
          <cell r="S505">
            <v>1</v>
          </cell>
          <cell r="T505">
            <v>1</v>
          </cell>
          <cell r="U505">
            <v>1</v>
          </cell>
          <cell r="V505">
            <v>1.3548387096774193</v>
          </cell>
          <cell r="W505">
            <v>1.903225806451613</v>
          </cell>
          <cell r="X505">
            <v>1.7931034482758621</v>
          </cell>
          <cell r="Y505">
            <v>0.64516129032258074</v>
          </cell>
          <cell r="Z505">
            <v>1.9666666666666666</v>
          </cell>
          <cell r="AA505">
            <v>2.3548387096774195</v>
          </cell>
          <cell r="AB505">
            <v>1.9333333333333333</v>
          </cell>
          <cell r="AC505">
            <v>0.58064516129032251</v>
          </cell>
          <cell r="AD505">
            <v>1.032258064516129</v>
          </cell>
          <cell r="AE505">
            <v>1.5</v>
          </cell>
          <cell r="AF505">
            <v>1.5161290322580645</v>
          </cell>
          <cell r="AG505">
            <v>1.5333333333333332</v>
          </cell>
          <cell r="AH505">
            <v>2.258064516129032</v>
          </cell>
          <cell r="AI505">
            <v>1.129032258064516</v>
          </cell>
          <cell r="AJ505">
            <v>2.1071428571428572</v>
          </cell>
          <cell r="AK505">
            <v>2</v>
          </cell>
          <cell r="AL505">
            <v>1.6333333333333333</v>
          </cell>
          <cell r="AM505">
            <v>1</v>
          </cell>
          <cell r="AN505">
            <v>1</v>
          </cell>
          <cell r="AO505">
            <v>1.129032258064516</v>
          </cell>
          <cell r="AP505">
            <v>1.2580645161290323</v>
          </cell>
          <cell r="AQ505">
            <v>1</v>
          </cell>
          <cell r="AR505">
            <v>1</v>
          </cell>
          <cell r="AS505">
            <v>0.5</v>
          </cell>
        </row>
        <row r="506">
          <cell r="C506" t="str">
            <v>LUK / Fitchburg / 102 Day Street 4</v>
          </cell>
          <cell r="D506" t="str">
            <v>Worcester West Area Office</v>
          </cell>
          <cell r="E506">
            <v>0.80645161290322576</v>
          </cell>
          <cell r="F506">
            <v>1</v>
          </cell>
          <cell r="G506">
            <v>1</v>
          </cell>
          <cell r="H506">
            <v>0.77419354838709675</v>
          </cell>
          <cell r="I506">
            <v>0.93333333333333335</v>
          </cell>
          <cell r="J506">
            <v>1.6129032258064515</v>
          </cell>
          <cell r="K506">
            <v>1.5483870967741935</v>
          </cell>
          <cell r="L506">
            <v>1</v>
          </cell>
          <cell r="M506">
            <v>1</v>
          </cell>
          <cell r="N506">
            <v>1</v>
          </cell>
          <cell r="O506">
            <v>1</v>
          </cell>
          <cell r="P506">
            <v>0.93333333333333335</v>
          </cell>
          <cell r="Q506">
            <v>1.3548387096774195</v>
          </cell>
          <cell r="R506">
            <v>1</v>
          </cell>
          <cell r="S506">
            <v>0.76666666666666672</v>
          </cell>
          <cell r="T506">
            <v>0.967741935483871</v>
          </cell>
          <cell r="U506">
            <v>1</v>
          </cell>
          <cell r="V506">
            <v>0.74193548387096775</v>
          </cell>
          <cell r="W506">
            <v>1</v>
          </cell>
          <cell r="X506">
            <v>0.75862068965517238</v>
          </cell>
          <cell r="Z506">
            <v>0.2</v>
          </cell>
          <cell r="AA506">
            <v>1</v>
          </cell>
          <cell r="AB506">
            <v>0.83333333333333326</v>
          </cell>
          <cell r="AC506">
            <v>0.90322580645161299</v>
          </cell>
          <cell r="AD506">
            <v>1.1935483870967742</v>
          </cell>
          <cell r="AE506">
            <v>0.9</v>
          </cell>
          <cell r="AF506">
            <v>2</v>
          </cell>
          <cell r="AG506">
            <v>2</v>
          </cell>
          <cell r="AH506">
            <v>1.7096774193548387</v>
          </cell>
          <cell r="AI506">
            <v>2</v>
          </cell>
          <cell r="AJ506">
            <v>1.6428571428571428</v>
          </cell>
          <cell r="AK506">
            <v>2.4838709677419355</v>
          </cell>
          <cell r="AL506">
            <v>2.5</v>
          </cell>
          <cell r="AM506">
            <v>2</v>
          </cell>
          <cell r="AN506">
            <v>2</v>
          </cell>
          <cell r="AO506">
            <v>1.6129032258064515</v>
          </cell>
          <cell r="AP506">
            <v>9.6774193548387094E-2</v>
          </cell>
        </row>
        <row r="507">
          <cell r="C507" t="str">
            <v>LUK / Fitchburg / 27 Myrtle Ave 1</v>
          </cell>
          <cell r="D507" t="str">
            <v>Lowell Area Office</v>
          </cell>
          <cell r="Z507">
            <v>3.3333333333333333E-2</v>
          </cell>
        </row>
        <row r="508">
          <cell r="C508" t="str">
            <v>LUK / Fitchburg / 27 Myrtle Ave 2</v>
          </cell>
          <cell r="D508" t="str">
            <v>North Central Area Office</v>
          </cell>
          <cell r="E508">
            <v>1.4816129032258065</v>
          </cell>
          <cell r="F508">
            <v>1.1612903225806452</v>
          </cell>
          <cell r="G508">
            <v>3.5333333333333332</v>
          </cell>
          <cell r="H508">
            <v>4.903225806451613</v>
          </cell>
          <cell r="I508">
            <v>5</v>
          </cell>
          <cell r="J508">
            <v>4.9677419354838701</v>
          </cell>
          <cell r="K508">
            <v>5.709677419354839</v>
          </cell>
          <cell r="L508">
            <v>3.8571428571428572</v>
          </cell>
          <cell r="M508">
            <v>4.6129032258064511</v>
          </cell>
          <cell r="N508">
            <v>5.4333333333333336</v>
          </cell>
          <cell r="O508">
            <v>5.032258064516129</v>
          </cell>
          <cell r="P508">
            <v>4.9000000000000004</v>
          </cell>
          <cell r="Q508">
            <v>5.290322580645161</v>
          </cell>
          <cell r="R508">
            <v>5.5483870967741931</v>
          </cell>
          <cell r="S508">
            <v>5.3</v>
          </cell>
          <cell r="T508">
            <v>4.967741935483871</v>
          </cell>
          <cell r="U508">
            <v>4.4000000000000004</v>
          </cell>
          <cell r="V508">
            <v>4.967741935483871</v>
          </cell>
          <cell r="W508">
            <v>4.7419354838709671</v>
          </cell>
          <cell r="X508">
            <v>4.4137931034482758</v>
          </cell>
          <cell r="Y508">
            <v>4.870967741935484</v>
          </cell>
          <cell r="Z508">
            <v>5</v>
          </cell>
          <cell r="AA508">
            <v>4.935483870967742</v>
          </cell>
          <cell r="AB508">
            <v>3.4666666666666668</v>
          </cell>
          <cell r="AC508">
            <v>2.193548387096774</v>
          </cell>
          <cell r="AD508">
            <v>2.612903225806452</v>
          </cell>
          <cell r="AE508">
            <v>1</v>
          </cell>
          <cell r="AF508">
            <v>0.61290322580645162</v>
          </cell>
          <cell r="AG508">
            <v>1.7333333333333334</v>
          </cell>
          <cell r="AH508">
            <v>2.193548387096774</v>
          </cell>
          <cell r="AI508">
            <v>2.3870967741935485</v>
          </cell>
          <cell r="AJ508">
            <v>3.0357142857142856</v>
          </cell>
          <cell r="AK508">
            <v>2.935483870967742</v>
          </cell>
          <cell r="AL508">
            <v>3.0333333333333332</v>
          </cell>
          <cell r="AM508">
            <v>3</v>
          </cell>
          <cell r="AN508">
            <v>2.8</v>
          </cell>
          <cell r="AO508">
            <v>2.612903225806452</v>
          </cell>
          <cell r="AP508">
            <v>1.903225806451613</v>
          </cell>
          <cell r="AQ508">
            <v>3</v>
          </cell>
          <cell r="AR508">
            <v>1.6774193548387097</v>
          </cell>
          <cell r="AS508">
            <v>1.4666666666666668</v>
          </cell>
          <cell r="AT508">
            <v>1.096774193548387</v>
          </cell>
          <cell r="AU508">
            <v>2.6451612903225805</v>
          </cell>
          <cell r="AV508">
            <v>3</v>
          </cell>
          <cell r="AW508">
            <v>1.6129032258064515</v>
          </cell>
          <cell r="AY508">
            <v>1.3870967741935485</v>
          </cell>
          <cell r="AZ508">
            <v>2.2333333333333334</v>
          </cell>
        </row>
        <row r="509">
          <cell r="C509" t="str">
            <v>LUK / Fitchburg / 27 Myrtle Ave 3</v>
          </cell>
          <cell r="D509" t="str">
            <v>South Central Area Office</v>
          </cell>
          <cell r="E509">
            <v>6.4516129032258063E-2</v>
          </cell>
          <cell r="F509">
            <v>0.87096774193548387</v>
          </cell>
          <cell r="I509">
            <v>3.3333333333333333E-2</v>
          </cell>
          <cell r="J509">
            <v>6.4516129032258063E-2</v>
          </cell>
          <cell r="L509">
            <v>7.1428571428571425E-2</v>
          </cell>
          <cell r="Q509">
            <v>3.2258064516129031E-2</v>
          </cell>
          <cell r="U509">
            <v>0.13333333333333333</v>
          </cell>
          <cell r="AB509">
            <v>0.13333333333333333</v>
          </cell>
          <cell r="AG509">
            <v>0.33333333333333331</v>
          </cell>
          <cell r="AH509">
            <v>0.77419354838709675</v>
          </cell>
          <cell r="AI509">
            <v>1</v>
          </cell>
          <cell r="AJ509">
            <v>1.2142857142857142</v>
          </cell>
          <cell r="AK509">
            <v>1.129032258064516</v>
          </cell>
          <cell r="AL509">
            <v>1</v>
          </cell>
          <cell r="AM509">
            <v>1</v>
          </cell>
          <cell r="AN509">
            <v>1.1000000000000001</v>
          </cell>
          <cell r="AO509">
            <v>1</v>
          </cell>
          <cell r="AP509">
            <v>1</v>
          </cell>
          <cell r="AQ509">
            <v>0.5</v>
          </cell>
          <cell r="AR509">
            <v>1</v>
          </cell>
          <cell r="AS509">
            <v>0.83333333333333337</v>
          </cell>
          <cell r="AT509">
            <v>3.2258064516129031E-2</v>
          </cell>
          <cell r="AV509">
            <v>7.1428571428571425E-2</v>
          </cell>
        </row>
        <row r="510">
          <cell r="C510" t="str">
            <v>LUK / Fitchburg / 27 Myrtle Ave 4</v>
          </cell>
          <cell r="D510" t="str">
            <v>Worcester East Area Office</v>
          </cell>
          <cell r="E510">
            <v>2</v>
          </cell>
          <cell r="F510">
            <v>3.225806451612903</v>
          </cell>
          <cell r="G510">
            <v>1.7</v>
          </cell>
          <cell r="H510">
            <v>0.54838709677419351</v>
          </cell>
          <cell r="I510">
            <v>1.9333333333333333</v>
          </cell>
          <cell r="J510">
            <v>1.064516129032258</v>
          </cell>
          <cell r="K510">
            <v>1.032258064516129</v>
          </cell>
          <cell r="L510">
            <v>0.8214285714285714</v>
          </cell>
          <cell r="M510">
            <v>1</v>
          </cell>
          <cell r="N510">
            <v>1.4666666666666668</v>
          </cell>
          <cell r="O510">
            <v>1.935483870967742</v>
          </cell>
          <cell r="P510">
            <v>1.8333333333333335</v>
          </cell>
          <cell r="Q510">
            <v>2.258064516129032</v>
          </cell>
          <cell r="R510">
            <v>2.064516129032258</v>
          </cell>
          <cell r="S510">
            <v>2</v>
          </cell>
          <cell r="T510">
            <v>2.032258064516129</v>
          </cell>
          <cell r="U510">
            <v>2.1333333333333333</v>
          </cell>
          <cell r="V510">
            <v>2.064516129032258</v>
          </cell>
          <cell r="W510">
            <v>2.032258064516129</v>
          </cell>
          <cell r="X510">
            <v>2.2758620689655173</v>
          </cell>
          <cell r="Y510">
            <v>2.064516129032258</v>
          </cell>
          <cell r="Z510">
            <v>2</v>
          </cell>
          <cell r="AA510">
            <v>1.7741935483870968</v>
          </cell>
          <cell r="AB510">
            <v>1.8666666666666667</v>
          </cell>
          <cell r="AC510">
            <v>2.4193548387096775</v>
          </cell>
          <cell r="AD510">
            <v>2.0645161290322585</v>
          </cell>
          <cell r="AE510">
            <v>1.7333333333333334</v>
          </cell>
          <cell r="AF510">
            <v>1.7096774193548387</v>
          </cell>
          <cell r="AG510">
            <v>1</v>
          </cell>
          <cell r="AH510">
            <v>1.096774193548387</v>
          </cell>
          <cell r="AI510">
            <v>1.903225806451613</v>
          </cell>
          <cell r="AJ510">
            <v>1.1071428571428572</v>
          </cell>
          <cell r="AK510">
            <v>1.161290322580645</v>
          </cell>
          <cell r="AL510">
            <v>1.4666666666666668</v>
          </cell>
          <cell r="AM510">
            <v>2.096774193548387</v>
          </cell>
          <cell r="AN510">
            <v>2.1333333333333333</v>
          </cell>
          <cell r="AO510">
            <v>1.6451612903225807</v>
          </cell>
          <cell r="AP510">
            <v>2.4838709677419355</v>
          </cell>
          <cell r="AQ510">
            <v>1.9666666666666668</v>
          </cell>
          <cell r="AR510">
            <v>1.7741935483870968</v>
          </cell>
          <cell r="AS510">
            <v>0.26666666666666666</v>
          </cell>
          <cell r="AT510">
            <v>2.064516129032258</v>
          </cell>
          <cell r="AU510">
            <v>2.161290322580645</v>
          </cell>
          <cell r="AV510">
            <v>2.8214285714285716</v>
          </cell>
          <cell r="AW510">
            <v>3</v>
          </cell>
          <cell r="AX510">
            <v>2.8333333333333335</v>
          </cell>
          <cell r="AY510">
            <v>1.2580645161290323</v>
          </cell>
          <cell r="AZ510">
            <v>1.7</v>
          </cell>
        </row>
        <row r="511">
          <cell r="C511" t="str">
            <v>LUK / Fitchburg / 27 Myrtle Ave 5</v>
          </cell>
          <cell r="D511" t="str">
            <v>Worcester West Area Office</v>
          </cell>
          <cell r="E511">
            <v>1.7419354838709675</v>
          </cell>
          <cell r="F511">
            <v>1.5161290322580645</v>
          </cell>
          <cell r="G511">
            <v>2.1666666666666665</v>
          </cell>
          <cell r="H511">
            <v>1.903225806451613</v>
          </cell>
          <cell r="I511">
            <v>1.0333333333333334</v>
          </cell>
          <cell r="J511">
            <v>2</v>
          </cell>
          <cell r="K511">
            <v>1.8064516129032255</v>
          </cell>
          <cell r="L511">
            <v>2.0714285714285712</v>
          </cell>
          <cell r="M511">
            <v>2</v>
          </cell>
          <cell r="N511">
            <v>2.0666666666666664</v>
          </cell>
          <cell r="O511">
            <v>2</v>
          </cell>
          <cell r="P511">
            <v>1.9666666666666668</v>
          </cell>
          <cell r="Q511">
            <v>1.7096774193548385</v>
          </cell>
          <cell r="R511">
            <v>1.4838709677419355</v>
          </cell>
          <cell r="S511">
            <v>2.1</v>
          </cell>
          <cell r="T511">
            <v>1.7419354838709677</v>
          </cell>
          <cell r="U511">
            <v>2.0333333333333332</v>
          </cell>
          <cell r="V511">
            <v>2</v>
          </cell>
          <cell r="W511">
            <v>2.129032258064516</v>
          </cell>
          <cell r="X511">
            <v>2</v>
          </cell>
          <cell r="Y511">
            <v>2.096774193548387</v>
          </cell>
          <cell r="Z511">
            <v>1.8333333333333333</v>
          </cell>
          <cell r="AA511">
            <v>2</v>
          </cell>
          <cell r="AB511">
            <v>2</v>
          </cell>
          <cell r="AC511">
            <v>1.6451612903225805</v>
          </cell>
          <cell r="AD511">
            <v>1.4193548387096775</v>
          </cell>
          <cell r="AE511">
            <v>2</v>
          </cell>
          <cell r="AF511">
            <v>1.903225806451613</v>
          </cell>
          <cell r="AG511">
            <v>1</v>
          </cell>
          <cell r="AH511">
            <v>1</v>
          </cell>
          <cell r="AI511">
            <v>1</v>
          </cell>
          <cell r="AJ511">
            <v>0.35714285714285715</v>
          </cell>
          <cell r="AL511">
            <v>0.2</v>
          </cell>
          <cell r="AM511">
            <v>1</v>
          </cell>
          <cell r="AN511">
            <v>0.83333333333333337</v>
          </cell>
          <cell r="AO511">
            <v>0.22580645161290322</v>
          </cell>
          <cell r="AP511">
            <v>1.2258064516129032</v>
          </cell>
          <cell r="AQ511">
            <v>1</v>
          </cell>
          <cell r="AR511">
            <v>1.7419354838709675</v>
          </cell>
          <cell r="AS511">
            <v>1.2</v>
          </cell>
          <cell r="AT511">
            <v>1</v>
          </cell>
          <cell r="AU511">
            <v>1</v>
          </cell>
          <cell r="AV511">
            <v>0.85714285714285721</v>
          </cell>
          <cell r="AW511">
            <v>0.67741935483870974</v>
          </cell>
          <cell r="AX511">
            <v>1</v>
          </cell>
          <cell r="AY511">
            <v>1</v>
          </cell>
          <cell r="AZ511">
            <v>0.9</v>
          </cell>
        </row>
        <row r="512">
          <cell r="C512" t="str">
            <v>LUK / Fitchburg / 27 Myrtle Ave 6</v>
          </cell>
          <cell r="D512" t="str">
            <v>(blank)</v>
          </cell>
          <cell r="G512">
            <v>3.3333333333333333E-2</v>
          </cell>
        </row>
        <row r="513">
          <cell r="C513" t="str">
            <v>LUK / Fitchburg / 846 Westminster 1</v>
          </cell>
          <cell r="D513" t="str">
            <v>North Central Area Office</v>
          </cell>
          <cell r="AP513">
            <v>0.19354838709677419</v>
          </cell>
          <cell r="AQ513">
            <v>2.8333333333333335</v>
          </cell>
          <cell r="AR513">
            <v>3.7419354838709671</v>
          </cell>
          <cell r="AS513">
            <v>3.7666666666666666</v>
          </cell>
          <cell r="AT513">
            <v>3.290322580645161</v>
          </cell>
          <cell r="AU513">
            <v>1.6774193548387097</v>
          </cell>
          <cell r="AV513">
            <v>2.3214285714285712</v>
          </cell>
          <cell r="AW513">
            <v>4.709677419354839</v>
          </cell>
          <cell r="AX513">
            <v>4.9000000000000004</v>
          </cell>
          <cell r="AY513">
            <v>3.8064516129032255</v>
          </cell>
          <cell r="AZ513">
            <v>3.2</v>
          </cell>
        </row>
        <row r="514">
          <cell r="C514" t="str">
            <v>LUK / Fitchburg / 846 Westminster 2</v>
          </cell>
          <cell r="D514" t="str">
            <v>South Central Area Office</v>
          </cell>
          <cell r="AT514">
            <v>3.2258064516129031E-2</v>
          </cell>
          <cell r="AW514">
            <v>3.2258064516129031E-2</v>
          </cell>
          <cell r="AX514">
            <v>0.1</v>
          </cell>
        </row>
        <row r="515">
          <cell r="C515" t="str">
            <v>LUK / Fitchburg / 846 Westminster 3</v>
          </cell>
          <cell r="D515" t="str">
            <v>Worcester East Area Office</v>
          </cell>
          <cell r="AQ515">
            <v>0.1</v>
          </cell>
          <cell r="AR515">
            <v>0.64516129032258063</v>
          </cell>
          <cell r="AS515">
            <v>0.73333333333333339</v>
          </cell>
          <cell r="AT515">
            <v>1</v>
          </cell>
          <cell r="AU515">
            <v>1.3548387096774195</v>
          </cell>
          <cell r="AV515">
            <v>2.8571428571428572</v>
          </cell>
          <cell r="AW515">
            <v>1</v>
          </cell>
          <cell r="AX515">
            <v>1.6</v>
          </cell>
          <cell r="AY515">
            <v>2.193548387096774</v>
          </cell>
          <cell r="AZ515">
            <v>1.6333333333333335</v>
          </cell>
        </row>
        <row r="516">
          <cell r="C516" t="str">
            <v>LUK / Fitchburg / 846 Westminster 4</v>
          </cell>
          <cell r="D516" t="str">
            <v>Worcester West Area Office</v>
          </cell>
          <cell r="AP516">
            <v>0.32258064516129031</v>
          </cell>
          <cell r="AQ516">
            <v>1.9333333333333333</v>
          </cell>
          <cell r="AR516">
            <v>1.3870967741935485</v>
          </cell>
          <cell r="AS516">
            <v>1</v>
          </cell>
          <cell r="AT516">
            <v>1.096774193548387</v>
          </cell>
          <cell r="AU516">
            <v>2.032258064516129</v>
          </cell>
          <cell r="AV516">
            <v>1.1428571428571428</v>
          </cell>
          <cell r="AW516">
            <v>2</v>
          </cell>
          <cell r="AX516">
            <v>1.7666666666666668</v>
          </cell>
          <cell r="AY516">
            <v>2.032258064516129</v>
          </cell>
          <cell r="AZ516">
            <v>1.8666666666666667</v>
          </cell>
        </row>
        <row r="517">
          <cell r="C517" t="str">
            <v>LUK / Fitchburg / 846 Westminster 5</v>
          </cell>
          <cell r="D517" t="str">
            <v>(blank)</v>
          </cell>
          <cell r="AZ517">
            <v>0.2</v>
          </cell>
        </row>
        <row r="518">
          <cell r="C518" t="str">
            <v>NFI / Arlington /23 Maple St 1</v>
          </cell>
          <cell r="D518" t="str">
            <v>Arlington Area Office</v>
          </cell>
          <cell r="G518">
            <v>1.8333333333333335</v>
          </cell>
          <cell r="H518">
            <v>1.7096774193548387</v>
          </cell>
          <cell r="I518">
            <v>1.8</v>
          </cell>
          <cell r="J518">
            <v>1.9032258064516128</v>
          </cell>
          <cell r="K518">
            <v>1.7096774193548387</v>
          </cell>
          <cell r="L518">
            <v>1.6785714285714286</v>
          </cell>
          <cell r="M518">
            <v>1.6774193548387095</v>
          </cell>
          <cell r="N518">
            <v>1.6</v>
          </cell>
          <cell r="O518">
            <v>1.9354838709677418</v>
          </cell>
          <cell r="P518">
            <v>1.8</v>
          </cell>
          <cell r="Q518">
            <v>1.935483870967742</v>
          </cell>
          <cell r="R518">
            <v>2</v>
          </cell>
          <cell r="S518">
            <v>1.3333333333333335</v>
          </cell>
          <cell r="T518">
            <v>1</v>
          </cell>
          <cell r="U518">
            <v>1.5333333333333334</v>
          </cell>
          <cell r="V518">
            <v>1.3225806451612903</v>
          </cell>
          <cell r="W518">
            <v>1.8064516129032258</v>
          </cell>
          <cell r="X518">
            <v>1.896551724137931</v>
          </cell>
          <cell r="Y518">
            <v>2.193548387096774</v>
          </cell>
          <cell r="Z518">
            <v>1.7</v>
          </cell>
          <cell r="AA518">
            <v>2</v>
          </cell>
          <cell r="AB518">
            <v>2</v>
          </cell>
          <cell r="AC518">
            <v>1.3870967741935483</v>
          </cell>
          <cell r="AD518">
            <v>2.129032258064516</v>
          </cell>
          <cell r="AE518">
            <v>2.0666666666666669</v>
          </cell>
          <cell r="AF518">
            <v>2.225806451612903</v>
          </cell>
          <cell r="AG518">
            <v>2.0333333333333332</v>
          </cell>
          <cell r="AH518">
            <v>1.7419354838709675</v>
          </cell>
          <cell r="AI518">
            <v>1.7096774193548387</v>
          </cell>
          <cell r="AJ518">
            <v>1.25</v>
          </cell>
          <cell r="AK518">
            <v>1.8387096774193548</v>
          </cell>
          <cell r="AL518">
            <v>2</v>
          </cell>
          <cell r="AM518">
            <v>2</v>
          </cell>
          <cell r="AN518">
            <v>2.1</v>
          </cell>
          <cell r="AO518">
            <v>2</v>
          </cell>
          <cell r="AP518">
            <v>1.6451612903225805</v>
          </cell>
          <cell r="AQ518">
            <v>1.7666666666666666</v>
          </cell>
          <cell r="AR518">
            <v>1.8709677419354838</v>
          </cell>
          <cell r="AS518">
            <v>2.333333333333333</v>
          </cell>
          <cell r="AT518">
            <v>1.9677419354838708</v>
          </cell>
          <cell r="AU518">
            <v>1.9032258064516128</v>
          </cell>
          <cell r="AV518">
            <v>2.3571428571428572</v>
          </cell>
          <cell r="AW518">
            <v>2.5483870967741935</v>
          </cell>
          <cell r="AX518">
            <v>1.8</v>
          </cell>
          <cell r="AY518">
            <v>1.4193548387096775</v>
          </cell>
          <cell r="AZ518">
            <v>2.0333333333333332</v>
          </cell>
        </row>
        <row r="519">
          <cell r="C519" t="str">
            <v>NFI / Arlington /23 Maple St 2</v>
          </cell>
          <cell r="D519" t="str">
            <v>Cambridge Area Office</v>
          </cell>
          <cell r="G519">
            <v>1.5666666666666669</v>
          </cell>
          <cell r="H519">
            <v>1.6451612903225805</v>
          </cell>
          <cell r="I519">
            <v>1.9</v>
          </cell>
          <cell r="J519">
            <v>1.8387096774193548</v>
          </cell>
          <cell r="K519">
            <v>1.8064516129032258</v>
          </cell>
          <cell r="L519">
            <v>1.8928571428571428</v>
          </cell>
          <cell r="M519">
            <v>1.6129032258064515</v>
          </cell>
          <cell r="N519">
            <v>2</v>
          </cell>
          <cell r="O519">
            <v>1.7096774193548387</v>
          </cell>
          <cell r="P519">
            <v>0.86666666666666659</v>
          </cell>
          <cell r="Q519">
            <v>1.3870967741935485</v>
          </cell>
          <cell r="R519">
            <v>1.8064516129032258</v>
          </cell>
          <cell r="S519">
            <v>0.56666666666666665</v>
          </cell>
          <cell r="T519">
            <v>0.5161290322580645</v>
          </cell>
          <cell r="U519">
            <v>1.7666666666666666</v>
          </cell>
          <cell r="V519">
            <v>1.6129032258064515</v>
          </cell>
          <cell r="W519">
            <v>1.6774193548387095</v>
          </cell>
          <cell r="X519">
            <v>2</v>
          </cell>
          <cell r="Y519">
            <v>1.7741935483870965</v>
          </cell>
          <cell r="Z519">
            <v>1.6333333333333333</v>
          </cell>
          <cell r="AA519">
            <v>1.870967741935484</v>
          </cell>
          <cell r="AB519">
            <v>1.6333333333333333</v>
          </cell>
          <cell r="AC519">
            <v>2</v>
          </cell>
          <cell r="AD519">
            <v>0.77419354838709675</v>
          </cell>
          <cell r="AE519">
            <v>0.2</v>
          </cell>
          <cell r="AF519">
            <v>1.7419354838709675</v>
          </cell>
          <cell r="AG519">
            <v>2.0333333333333332</v>
          </cell>
          <cell r="AH519">
            <v>2</v>
          </cell>
          <cell r="AI519">
            <v>1.4838709677419355</v>
          </cell>
          <cell r="AJ519">
            <v>0.75</v>
          </cell>
          <cell r="AK519">
            <v>1.935483870967742</v>
          </cell>
          <cell r="AL519">
            <v>1.5666666666666667</v>
          </cell>
          <cell r="AM519">
            <v>1.741935483870968</v>
          </cell>
          <cell r="AN519">
            <v>1.4333333333333333</v>
          </cell>
          <cell r="AO519">
            <v>2</v>
          </cell>
          <cell r="AP519">
            <v>1.7419354838709677</v>
          </cell>
          <cell r="AQ519">
            <v>0.8666666666666667</v>
          </cell>
          <cell r="AR519">
            <v>1.1935483870967742</v>
          </cell>
          <cell r="AS519">
            <v>1.2666666666666666</v>
          </cell>
          <cell r="AT519">
            <v>1.4516129032258065</v>
          </cell>
          <cell r="AU519">
            <v>1.7096774193548387</v>
          </cell>
          <cell r="AV519">
            <v>2</v>
          </cell>
          <cell r="AW519">
            <v>1.8064516129032258</v>
          </cell>
          <cell r="AX519">
            <v>1.8</v>
          </cell>
          <cell r="AY519">
            <v>1.7741935483870968</v>
          </cell>
          <cell r="AZ519">
            <v>1.7333333333333334</v>
          </cell>
        </row>
        <row r="520">
          <cell r="C520" t="str">
            <v>NFI / Arlington /23 Maple St 3</v>
          </cell>
          <cell r="D520" t="str">
            <v>Cambridge Fam &amp; Child Srvcs (Adop)</v>
          </cell>
          <cell r="AR520">
            <v>0.41935483870967744</v>
          </cell>
          <cell r="AS520">
            <v>1</v>
          </cell>
          <cell r="AT520">
            <v>0.32258064516129031</v>
          </cell>
        </row>
        <row r="521">
          <cell r="C521" t="str">
            <v>NFI / Arlington /23 Maple St 4</v>
          </cell>
          <cell r="D521" t="str">
            <v>Coastal Area Office</v>
          </cell>
          <cell r="N521">
            <v>0.1</v>
          </cell>
          <cell r="O521">
            <v>6.4516129032258063E-2</v>
          </cell>
          <cell r="S521">
            <v>0.13333333333333333</v>
          </cell>
        </row>
        <row r="522">
          <cell r="C522" t="str">
            <v>NFI / Arlington /23 Maple St 5</v>
          </cell>
          <cell r="D522" t="str">
            <v>Framingham Area Office</v>
          </cell>
          <cell r="I522">
            <v>3.3333333333333333E-2</v>
          </cell>
          <cell r="M522">
            <v>0.41935483870967738</v>
          </cell>
          <cell r="R522">
            <v>0.12903225806451613</v>
          </cell>
          <cell r="T522">
            <v>0.38709677419354838</v>
          </cell>
          <cell r="U522">
            <v>1</v>
          </cell>
          <cell r="V522">
            <v>0.93548387096774199</v>
          </cell>
          <cell r="W522">
            <v>0.5161290322580645</v>
          </cell>
          <cell r="Z522">
            <v>0.26666666666666666</v>
          </cell>
          <cell r="AE522">
            <v>3.3333333333333333E-2</v>
          </cell>
          <cell r="AH522">
            <v>3.2258064516129031E-2</v>
          </cell>
          <cell r="AJ522">
            <v>3.5714285714285712E-2</v>
          </cell>
          <cell r="AK522">
            <v>3.2258064516129031E-2</v>
          </cell>
          <cell r="AN522">
            <v>6.6666666666666666E-2</v>
          </cell>
          <cell r="AX522">
            <v>0.13333333333333333</v>
          </cell>
          <cell r="AY522">
            <v>0.22580645161290322</v>
          </cell>
        </row>
        <row r="523">
          <cell r="C523" t="str">
            <v>NFI / Arlington /23 Maple St 6</v>
          </cell>
          <cell r="D523" t="str">
            <v>Greenfield Area Office</v>
          </cell>
          <cell r="AD523">
            <v>0.16129032258064516</v>
          </cell>
          <cell r="AE523">
            <v>3.3333333333333333E-2</v>
          </cell>
        </row>
        <row r="524">
          <cell r="C524" t="str">
            <v>NFI / Arlington /23 Maple St 7</v>
          </cell>
          <cell r="D524" t="str">
            <v>Lynn Area Office</v>
          </cell>
          <cell r="AO524">
            <v>0.967741935483871</v>
          </cell>
          <cell r="AP524">
            <v>0.83870967741935487</v>
          </cell>
        </row>
        <row r="525">
          <cell r="C525" t="str">
            <v>NFI / Arlington /23 Maple St 8</v>
          </cell>
          <cell r="D525" t="str">
            <v>Malden Area Office</v>
          </cell>
          <cell r="G525">
            <v>0.8666666666666667</v>
          </cell>
          <cell r="H525">
            <v>1.7419354838709677</v>
          </cell>
          <cell r="I525">
            <v>1.8666666666666667</v>
          </cell>
          <cell r="J525">
            <v>1.8064516129032258</v>
          </cell>
          <cell r="K525">
            <v>1.9032258064516128</v>
          </cell>
          <cell r="L525">
            <v>1.5357142857142856</v>
          </cell>
          <cell r="M525">
            <v>1.5161290322580645</v>
          </cell>
          <cell r="N525">
            <v>2</v>
          </cell>
          <cell r="O525">
            <v>2</v>
          </cell>
          <cell r="P525">
            <v>2.9</v>
          </cell>
          <cell r="Q525">
            <v>2.064516129032258</v>
          </cell>
          <cell r="R525">
            <v>1.7419354838709675</v>
          </cell>
          <cell r="S525">
            <v>1.7666666666666666</v>
          </cell>
          <cell r="T525">
            <v>1.2903225806451613</v>
          </cell>
          <cell r="U525">
            <v>0.96666666666666667</v>
          </cell>
          <cell r="V525">
            <v>1</v>
          </cell>
          <cell r="W525">
            <v>1.5483870967741935</v>
          </cell>
          <cell r="X525">
            <v>2</v>
          </cell>
          <cell r="Y525">
            <v>1.3548387096774195</v>
          </cell>
          <cell r="Z525">
            <v>1.7</v>
          </cell>
          <cell r="AA525">
            <v>1.7741935483870965</v>
          </cell>
          <cell r="AB525">
            <v>1.6</v>
          </cell>
          <cell r="AC525">
            <v>1.967741935483871</v>
          </cell>
          <cell r="AD525">
            <v>0.45161290322580644</v>
          </cell>
          <cell r="AF525">
            <v>1.4193548387096775</v>
          </cell>
          <cell r="AG525">
            <v>1.4</v>
          </cell>
          <cell r="AH525">
            <v>1.129032258064516</v>
          </cell>
          <cell r="AI525">
            <v>1.7096774193548385</v>
          </cell>
          <cell r="AJ525">
            <v>2</v>
          </cell>
          <cell r="AK525">
            <v>1.838709677419355</v>
          </cell>
          <cell r="AL525">
            <v>1.7</v>
          </cell>
          <cell r="AM525">
            <v>2</v>
          </cell>
          <cell r="AN525">
            <v>1.7</v>
          </cell>
          <cell r="AO525">
            <v>0.967741935483871</v>
          </cell>
          <cell r="AP525">
            <v>0.64516129032258063</v>
          </cell>
          <cell r="AQ525">
            <v>2</v>
          </cell>
          <cell r="AR525">
            <v>1.4193548387096775</v>
          </cell>
          <cell r="AS525">
            <v>1</v>
          </cell>
          <cell r="AT525">
            <v>1.4516129032258065</v>
          </cell>
          <cell r="AU525">
            <v>1.7096774193548385</v>
          </cell>
          <cell r="AV525">
            <v>1.0357142857142858</v>
          </cell>
          <cell r="AW525">
            <v>1.064516129032258</v>
          </cell>
          <cell r="AX525">
            <v>2</v>
          </cell>
          <cell r="AY525">
            <v>2</v>
          </cell>
          <cell r="AZ525">
            <v>1.6</v>
          </cell>
        </row>
        <row r="526">
          <cell r="C526" t="str">
            <v>NFI / Arlington /23 Maple St 9</v>
          </cell>
          <cell r="D526" t="str">
            <v>Plymouth Area Office</v>
          </cell>
          <cell r="M526">
            <v>9.6774193548387094E-2</v>
          </cell>
        </row>
        <row r="527">
          <cell r="C527" t="str">
            <v>NFI / Arlington /23 Maple St 10</v>
          </cell>
          <cell r="D527" t="str">
            <v>South Central Area Office</v>
          </cell>
          <cell r="AG527">
            <v>6.6666666666666666E-2</v>
          </cell>
          <cell r="AJ527">
            <v>0.14285714285714285</v>
          </cell>
        </row>
        <row r="528">
          <cell r="C528" t="str">
            <v>Old Colony Y/Brockton/917R Montello 1</v>
          </cell>
          <cell r="D528" t="str">
            <v>Brockton Area Office</v>
          </cell>
          <cell r="E528">
            <v>8.0967741935483861</v>
          </cell>
          <cell r="F528">
            <v>8.1612903225806441</v>
          </cell>
          <cell r="G528">
            <v>9.1666666666666661</v>
          </cell>
          <cell r="H528">
            <v>8.5806451612903238</v>
          </cell>
          <cell r="I528">
            <v>9.9</v>
          </cell>
          <cell r="J528">
            <v>10.580645161290322</v>
          </cell>
          <cell r="K528">
            <v>11.193548387096774</v>
          </cell>
          <cell r="L528">
            <v>10.75</v>
          </cell>
          <cell r="M528">
            <v>12.258064516129034</v>
          </cell>
          <cell r="N528">
            <v>12.1</v>
          </cell>
          <cell r="O528">
            <v>11.32258064516129</v>
          </cell>
          <cell r="P528">
            <v>15.033333333333335</v>
          </cell>
          <cell r="Q528">
            <v>12.161290322580642</v>
          </cell>
          <cell r="R528">
            <v>9.6774193548387082</v>
          </cell>
          <cell r="S528">
            <v>9.8333333333333339</v>
          </cell>
          <cell r="T528">
            <v>9.9354838709677402</v>
          </cell>
          <cell r="U528">
            <v>11.6</v>
          </cell>
          <cell r="V528">
            <v>10.96774193548387</v>
          </cell>
          <cell r="W528">
            <v>10.258064516129032</v>
          </cell>
          <cell r="X528">
            <v>9.3793103448275854</v>
          </cell>
          <cell r="Y528">
            <v>9.9677419354838719</v>
          </cell>
          <cell r="Z528">
            <v>10.6</v>
          </cell>
          <cell r="AA528">
            <v>11.516129032258066</v>
          </cell>
          <cell r="AB528">
            <v>9.2666666666666657</v>
          </cell>
          <cell r="AC528">
            <v>9.7096774193548381</v>
          </cell>
          <cell r="AD528">
            <v>9.8064516129032278</v>
          </cell>
          <cell r="AE528">
            <v>11.433333333333334</v>
          </cell>
          <cell r="AF528">
            <v>11.806451612903226</v>
          </cell>
          <cell r="AG528">
            <v>10.266666666666666</v>
          </cell>
          <cell r="AH528">
            <v>11.419354838709678</v>
          </cell>
          <cell r="AI528">
            <v>11.193548387096776</v>
          </cell>
          <cell r="AJ528">
            <v>9.4642857142857153</v>
          </cell>
          <cell r="AK528">
            <v>9.2258064516129057</v>
          </cell>
          <cell r="AL528">
            <v>9.1</v>
          </cell>
          <cell r="AM528">
            <v>9.5806451612903238</v>
          </cell>
          <cell r="AN528">
            <v>10.3</v>
          </cell>
          <cell r="AO528">
            <v>8.3548387096774199</v>
          </cell>
          <cell r="AP528">
            <v>6.0967741935483861</v>
          </cell>
          <cell r="AQ528">
            <v>8.0666666666666664</v>
          </cell>
          <cell r="AR528">
            <v>7</v>
          </cell>
          <cell r="AS528">
            <v>5.0999999999999996</v>
          </cell>
          <cell r="AT528">
            <v>7.612903225806452</v>
          </cell>
          <cell r="AU528">
            <v>9.5161290322580641</v>
          </cell>
          <cell r="AV528">
            <v>10.142857142857146</v>
          </cell>
          <cell r="AW528">
            <v>10.032258064516128</v>
          </cell>
          <cell r="AX528">
            <v>8.4666666666666668</v>
          </cell>
          <cell r="AY528">
            <v>9.4838709677419359</v>
          </cell>
          <cell r="AZ528">
            <v>7.6333333333333337</v>
          </cell>
        </row>
        <row r="529">
          <cell r="C529" t="str">
            <v>Old Colony Y/Brockton/917R Montello 2</v>
          </cell>
          <cell r="D529" t="str">
            <v>Coastal Area Office</v>
          </cell>
          <cell r="AL529">
            <v>0.26666666666666666</v>
          </cell>
          <cell r="AO529">
            <v>0.80645161290322576</v>
          </cell>
          <cell r="AP529">
            <v>0.64516129032258063</v>
          </cell>
          <cell r="AQ529">
            <v>0.7</v>
          </cell>
        </row>
        <row r="530">
          <cell r="C530" t="str">
            <v>Old Colony Y/Brockton/917R Montello 3</v>
          </cell>
          <cell r="D530" t="str">
            <v>Fall River Area Office</v>
          </cell>
          <cell r="O530">
            <v>0.22580645161290322</v>
          </cell>
          <cell r="P530">
            <v>0.1</v>
          </cell>
          <cell r="Q530">
            <v>0.22580645161290322</v>
          </cell>
          <cell r="R530">
            <v>1</v>
          </cell>
          <cell r="S530">
            <v>1</v>
          </cell>
          <cell r="T530">
            <v>0.58064516129032262</v>
          </cell>
          <cell r="V530">
            <v>6.4516129032258063E-2</v>
          </cell>
          <cell r="Y530">
            <v>3.2258064516129031E-2</v>
          </cell>
          <cell r="Z530">
            <v>0.3</v>
          </cell>
          <cell r="AB530">
            <v>0.33333333333333337</v>
          </cell>
          <cell r="AC530">
            <v>1</v>
          </cell>
          <cell r="AD530">
            <v>1.096774193548387</v>
          </cell>
          <cell r="AE530">
            <v>0.3</v>
          </cell>
          <cell r="AX530">
            <v>3.3333333333333333E-2</v>
          </cell>
          <cell r="AY530">
            <v>0.35483870967741937</v>
          </cell>
          <cell r="AZ530">
            <v>0.3</v>
          </cell>
        </row>
        <row r="531">
          <cell r="C531" t="str">
            <v>Old Colony Y/Brockton/917R Montello 4</v>
          </cell>
          <cell r="D531" t="str">
            <v>New Bedford Area Office</v>
          </cell>
          <cell r="M531">
            <v>3.2258064516129031E-2</v>
          </cell>
          <cell r="Z531">
            <v>0.3666666666666667</v>
          </cell>
          <cell r="AB531">
            <v>0.13333333333333333</v>
          </cell>
          <cell r="AC531">
            <v>0.93548387096774188</v>
          </cell>
          <cell r="AJ531">
            <v>7.1428571428571425E-2</v>
          </cell>
          <cell r="AN531">
            <v>0.13333333333333333</v>
          </cell>
          <cell r="AO531">
            <v>9.6774193548387094E-2</v>
          </cell>
          <cell r="AP531">
            <v>1.1612903225806452</v>
          </cell>
          <cell r="AQ531">
            <v>1.2666666666666666</v>
          </cell>
          <cell r="AR531">
            <v>0.77419354838709675</v>
          </cell>
          <cell r="AS531">
            <v>0.76666666666666672</v>
          </cell>
          <cell r="AY531">
            <v>0.83870967741935476</v>
          </cell>
          <cell r="AZ531">
            <v>1</v>
          </cell>
        </row>
        <row r="532">
          <cell r="C532" t="str">
            <v>Old Colony Y/Brockton/917R Montello 5</v>
          </cell>
          <cell r="D532" t="str">
            <v>Plymouth Area Office</v>
          </cell>
          <cell r="E532">
            <v>0.22580645161290322</v>
          </cell>
          <cell r="F532">
            <v>1.032258064516129</v>
          </cell>
          <cell r="G532">
            <v>1</v>
          </cell>
          <cell r="H532">
            <v>1.8387096774193548</v>
          </cell>
          <cell r="I532">
            <v>1.9</v>
          </cell>
          <cell r="J532">
            <v>0.45161290322580644</v>
          </cell>
          <cell r="N532">
            <v>0.33333333333333331</v>
          </cell>
          <cell r="T532">
            <v>0.32258064516129031</v>
          </cell>
          <cell r="AB532">
            <v>0.93333333333333335</v>
          </cell>
          <cell r="AC532">
            <v>9.6774193548387094E-2</v>
          </cell>
          <cell r="AD532">
            <v>0.16129032258064516</v>
          </cell>
          <cell r="AG532">
            <v>0.8</v>
          </cell>
          <cell r="AH532">
            <v>0.25806451612903225</v>
          </cell>
          <cell r="AJ532">
            <v>0.4642857142857143</v>
          </cell>
          <cell r="AK532">
            <v>0.61290322580645162</v>
          </cell>
          <cell r="AL532">
            <v>3.3333333333333333E-2</v>
          </cell>
          <cell r="AM532">
            <v>0.35483870967741937</v>
          </cell>
          <cell r="AN532">
            <v>0.1</v>
          </cell>
          <cell r="AO532">
            <v>1</v>
          </cell>
          <cell r="AP532">
            <v>0.35483870967741937</v>
          </cell>
          <cell r="AR532">
            <v>0.87096774193548387</v>
          </cell>
          <cell r="AS532">
            <v>0.76666666666666672</v>
          </cell>
          <cell r="AU532">
            <v>0.77419354838709675</v>
          </cell>
          <cell r="AV532">
            <v>1</v>
          </cell>
          <cell r="AW532">
            <v>1</v>
          </cell>
          <cell r="AX532">
            <v>1</v>
          </cell>
          <cell r="AY532">
            <v>0.58064516129032251</v>
          </cell>
          <cell r="AZ532">
            <v>0.76666666666666672</v>
          </cell>
        </row>
        <row r="533">
          <cell r="C533" t="str">
            <v>Old Colony Y/Brockton/917R Montello 6</v>
          </cell>
          <cell r="D533" t="str">
            <v>Solutions for Living (PAS SE)</v>
          </cell>
          <cell r="AK533">
            <v>0.93548387096774188</v>
          </cell>
          <cell r="AL533">
            <v>1</v>
          </cell>
          <cell r="AM533">
            <v>1</v>
          </cell>
          <cell r="AN533">
            <v>0.7</v>
          </cell>
        </row>
        <row r="534">
          <cell r="C534" t="str">
            <v>Old Colony Y/Brockton/917R Montello 7</v>
          </cell>
          <cell r="D534" t="str">
            <v>Taunton/Attleboro Area Office</v>
          </cell>
          <cell r="L534">
            <v>0.39285714285714285</v>
          </cell>
          <cell r="S534">
            <v>0.1</v>
          </cell>
          <cell r="T534">
            <v>0.32258064516129031</v>
          </cell>
          <cell r="V534">
            <v>0.61290322580645162</v>
          </cell>
          <cell r="W534">
            <v>0.87096774193548387</v>
          </cell>
          <cell r="X534">
            <v>0.17241379310344829</v>
          </cell>
          <cell r="Y534">
            <v>0.29032258064516125</v>
          </cell>
          <cell r="Z534">
            <v>0.3</v>
          </cell>
          <cell r="AI534">
            <v>0.16129032258064516</v>
          </cell>
          <cell r="AJ534">
            <v>0.21428571428571427</v>
          </cell>
          <cell r="AO534">
            <v>0.38709677419354838</v>
          </cell>
          <cell r="AP534">
            <v>0.967741935483871</v>
          </cell>
          <cell r="AQ534">
            <v>1.1333333333333333</v>
          </cell>
          <cell r="AR534">
            <v>0.5161290322580645</v>
          </cell>
          <cell r="AS534">
            <v>0.7</v>
          </cell>
          <cell r="AT534">
            <v>0.74193548387096775</v>
          </cell>
          <cell r="AU534">
            <v>0.64516129032258063</v>
          </cell>
          <cell r="AV534">
            <v>0.39285714285714285</v>
          </cell>
        </row>
        <row r="535">
          <cell r="C535" t="str">
            <v>Old Colony Y/Fall River/199 N. Main 1</v>
          </cell>
          <cell r="D535" t="str">
            <v>Brockton Area Office</v>
          </cell>
          <cell r="Y535">
            <v>3.2258064516129031E-2</v>
          </cell>
          <cell r="AC535">
            <v>0.35483870967741937</v>
          </cell>
        </row>
        <row r="536">
          <cell r="C536" t="str">
            <v>Old Colony Y/Fall River/199 N. Main 2</v>
          </cell>
          <cell r="D536" t="str">
            <v>Fall River Area Office</v>
          </cell>
          <cell r="I536">
            <v>0.7</v>
          </cell>
          <cell r="J536">
            <v>0.61290322580645162</v>
          </cell>
          <cell r="V536">
            <v>0.25806451612903225</v>
          </cell>
          <cell r="W536">
            <v>3.2258064516129031E-2</v>
          </cell>
          <cell r="X536">
            <v>3.4482758620689655E-2</v>
          </cell>
          <cell r="Y536">
            <v>0.16129032258064516</v>
          </cell>
          <cell r="Z536">
            <v>3.3333333333333333E-2</v>
          </cell>
        </row>
        <row r="537">
          <cell r="C537" t="str">
            <v>Old Colony Y/Fall River/199 N. Main 3</v>
          </cell>
          <cell r="D537" t="str">
            <v>New Bedford Area Office</v>
          </cell>
          <cell r="I537">
            <v>12.633333333333333</v>
          </cell>
          <cell r="J537">
            <v>10.806451612903228</v>
          </cell>
          <cell r="K537">
            <v>12.29032258064516</v>
          </cell>
          <cell r="L537">
            <v>12.821428571428573</v>
          </cell>
          <cell r="M537">
            <v>12.516129032258066</v>
          </cell>
          <cell r="N537">
            <v>12.9</v>
          </cell>
          <cell r="O537">
            <v>12.225806451612904</v>
          </cell>
          <cell r="P537">
            <v>14.033333333333333</v>
          </cell>
          <cell r="Q537">
            <v>12.35483870967742</v>
          </cell>
          <cell r="R537">
            <v>11.903225806451612</v>
          </cell>
          <cell r="S537">
            <v>13.533333333333331</v>
          </cell>
          <cell r="T537">
            <v>13.7741935483871</v>
          </cell>
          <cell r="U537">
            <v>12.833333333333334</v>
          </cell>
          <cell r="V537">
            <v>12.483870967741936</v>
          </cell>
          <cell r="W537">
            <v>13.096774193548386</v>
          </cell>
          <cell r="X537">
            <v>13.448275862068966</v>
          </cell>
          <cell r="Y537">
            <v>13.290322580645162</v>
          </cell>
          <cell r="Z537">
            <v>13.866666666666667</v>
          </cell>
          <cell r="AA537">
            <v>11.548387096774194</v>
          </cell>
          <cell r="AB537">
            <v>5.9</v>
          </cell>
          <cell r="AC537">
            <v>8.193548387096774</v>
          </cell>
          <cell r="AD537">
            <v>1.3225806451612903</v>
          </cell>
        </row>
        <row r="538">
          <cell r="C538" t="str">
            <v>Old Colony Y/Fall River/199 N. Main 4</v>
          </cell>
          <cell r="D538" t="str">
            <v>Plymouth Area Office</v>
          </cell>
          <cell r="I538">
            <v>6.6666666666666666E-2</v>
          </cell>
          <cell r="L538">
            <v>0.9642857142857143</v>
          </cell>
          <cell r="M538">
            <v>1</v>
          </cell>
          <cell r="N538">
            <v>1</v>
          </cell>
          <cell r="O538">
            <v>1</v>
          </cell>
        </row>
        <row r="539">
          <cell r="C539" t="str">
            <v>Old Colony Y/Fall River/199 N. Main 5</v>
          </cell>
          <cell r="D539" t="str">
            <v>Taunton/Attleboro Area Office</v>
          </cell>
          <cell r="Q539">
            <v>0.70967741935483875</v>
          </cell>
          <cell r="R539">
            <v>0.25806451612903225</v>
          </cell>
          <cell r="AD539">
            <v>0.25806451612903225</v>
          </cell>
        </row>
        <row r="540">
          <cell r="C540" t="str">
            <v>Old Colony Y/NewBedford/106 bullard 1</v>
          </cell>
          <cell r="D540" t="str">
            <v>Brockton Area Office</v>
          </cell>
          <cell r="AA540">
            <v>3.2258064516129031E-2</v>
          </cell>
          <cell r="AB540">
            <v>0.43333333333333335</v>
          </cell>
          <cell r="AC540">
            <v>1</v>
          </cell>
          <cell r="AD540">
            <v>1.193548387096774</v>
          </cell>
          <cell r="AE540">
            <v>1</v>
          </cell>
          <cell r="AF540">
            <v>0.41935483870967738</v>
          </cell>
          <cell r="AH540">
            <v>9.6774193548387094E-2</v>
          </cell>
          <cell r="AI540">
            <v>0.38709677419354838</v>
          </cell>
          <cell r="AK540">
            <v>9.6774193548387094E-2</v>
          </cell>
          <cell r="AM540">
            <v>3.2258064516129031E-2</v>
          </cell>
          <cell r="AO540">
            <v>0.29032258064516131</v>
          </cell>
          <cell r="AP540">
            <v>1</v>
          </cell>
          <cell r="AQ540">
            <v>1</v>
          </cell>
          <cell r="AR540">
            <v>1</v>
          </cell>
          <cell r="AS540">
            <v>3.3333333333333333E-2</v>
          </cell>
          <cell r="AY540">
            <v>0.45161290322580644</v>
          </cell>
          <cell r="AZ540">
            <v>1.0333333333333334</v>
          </cell>
        </row>
        <row r="541">
          <cell r="C541" t="str">
            <v>Old Colony Y/NewBedford/106 bullard 2</v>
          </cell>
          <cell r="D541" t="str">
            <v>Cape Cod Area Office</v>
          </cell>
          <cell r="AW541">
            <v>9.6774193548387094E-2</v>
          </cell>
          <cell r="AY541">
            <v>3.2258064516129031E-2</v>
          </cell>
        </row>
        <row r="542">
          <cell r="C542" t="str">
            <v>Old Colony Y/NewBedford/106 bullard 3</v>
          </cell>
          <cell r="D542" t="str">
            <v>Fall River Area Office</v>
          </cell>
          <cell r="AW542">
            <v>1</v>
          </cell>
          <cell r="AX542">
            <v>6.6666666666666666E-2</v>
          </cell>
        </row>
        <row r="543">
          <cell r="C543" t="str">
            <v>Old Colony Y/NewBedford/106 bullard 4</v>
          </cell>
          <cell r="D543" t="str">
            <v>New Bedford Area Office</v>
          </cell>
          <cell r="AA543">
            <v>1.935483870967742</v>
          </cell>
          <cell r="AB543">
            <v>7.3666666666666671</v>
          </cell>
          <cell r="AC543">
            <v>3.419354838709677</v>
          </cell>
          <cell r="AD543">
            <v>7.580645161290323</v>
          </cell>
          <cell r="AE543">
            <v>11.6</v>
          </cell>
          <cell r="AF543">
            <v>11.774193548387098</v>
          </cell>
          <cell r="AG543">
            <v>12.6</v>
          </cell>
          <cell r="AH543">
            <v>10.645161290322584</v>
          </cell>
          <cell r="AI543">
            <v>12.193548387096776</v>
          </cell>
          <cell r="AJ543">
            <v>12.642857142857144</v>
          </cell>
          <cell r="AK543">
            <v>12.483870967741936</v>
          </cell>
          <cell r="AL543">
            <v>13.333333333333334</v>
          </cell>
          <cell r="AM543">
            <v>13.645161290322578</v>
          </cell>
          <cell r="AN543">
            <v>14.866666666666665</v>
          </cell>
          <cell r="AO543">
            <v>13.064516129032258</v>
          </cell>
          <cell r="AP543">
            <v>12.322580645161292</v>
          </cell>
          <cell r="AQ543">
            <v>11.6</v>
          </cell>
          <cell r="AR543">
            <v>12.290322580645158</v>
          </cell>
          <cell r="AS543">
            <v>11.533333333333337</v>
          </cell>
          <cell r="AT543">
            <v>11.161290322580646</v>
          </cell>
          <cell r="AU543">
            <v>12.483870967741936</v>
          </cell>
          <cell r="AV543">
            <v>12.892857142857144</v>
          </cell>
          <cell r="AW543">
            <v>11</v>
          </cell>
          <cell r="AX543">
            <v>12.466666666666665</v>
          </cell>
          <cell r="AY543">
            <v>11.161290322580644</v>
          </cell>
          <cell r="AZ543">
            <v>8.6999999999999993</v>
          </cell>
        </row>
        <row r="544">
          <cell r="C544" t="str">
            <v>Old Colony Y/NewBedford/106 bullard 5</v>
          </cell>
          <cell r="D544" t="str">
            <v>Park St. Area Office</v>
          </cell>
          <cell r="AS544">
            <v>0.5</v>
          </cell>
        </row>
        <row r="545">
          <cell r="C545" t="str">
            <v>Old Colony Y/NewBedford/106 bullard 6</v>
          </cell>
          <cell r="D545" t="str">
            <v>Plymouth Area Office</v>
          </cell>
          <cell r="AL545">
            <v>3.3333333333333333E-2</v>
          </cell>
          <cell r="AU545">
            <v>0.25806451612903225</v>
          </cell>
          <cell r="AW545">
            <v>0.32258064516129031</v>
          </cell>
          <cell r="AY545">
            <v>0.83870967741935487</v>
          </cell>
          <cell r="AZ545">
            <v>1</v>
          </cell>
        </row>
        <row r="546">
          <cell r="C546" t="str">
            <v>Old Colony Y/NewBedford/106 bullard 7</v>
          </cell>
          <cell r="D546" t="str">
            <v>Solutions for Living (PAS SE)</v>
          </cell>
          <cell r="AW546">
            <v>0.64516129032258063</v>
          </cell>
          <cell r="AX546">
            <v>1</v>
          </cell>
          <cell r="AY546">
            <v>0.74193548387096775</v>
          </cell>
        </row>
        <row r="547">
          <cell r="C547" t="str">
            <v>Old Colony Y/NewBedford/106 bullard 8</v>
          </cell>
          <cell r="D547" t="str">
            <v>Taunton/Attleboro Area Office</v>
          </cell>
          <cell r="AI547">
            <v>3.2258064516129031E-2</v>
          </cell>
          <cell r="AQ547">
            <v>0.7</v>
          </cell>
          <cell r="AY547">
            <v>0.22580645161290322</v>
          </cell>
          <cell r="AZ547">
            <v>0.76666666666666672</v>
          </cell>
        </row>
        <row r="548">
          <cell r="C548" t="str">
            <v>RFK / Lancaster / 220 Old Common 1</v>
          </cell>
          <cell r="D548" t="str">
            <v>Cape Cod Area Office</v>
          </cell>
          <cell r="Q548">
            <v>1.967741935483871</v>
          </cell>
          <cell r="R548">
            <v>0.54838709677419351</v>
          </cell>
        </row>
        <row r="549">
          <cell r="C549" t="str">
            <v>RFK / Lancaster / 220 Old Common 2</v>
          </cell>
          <cell r="D549" t="str">
            <v>North Central Area Office</v>
          </cell>
          <cell r="F549">
            <v>0.87096774193548376</v>
          </cell>
          <cell r="G549">
            <v>4</v>
          </cell>
          <cell r="H549">
            <v>3.967741935483871</v>
          </cell>
          <cell r="I549">
            <v>3.8</v>
          </cell>
          <cell r="J549">
            <v>4.5483870967741931</v>
          </cell>
          <cell r="K549">
            <v>5.032258064516129</v>
          </cell>
          <cell r="L549">
            <v>5.8928571428571432</v>
          </cell>
          <cell r="M549">
            <v>4.225806451612903</v>
          </cell>
          <cell r="N549">
            <v>4.5333333333333332</v>
          </cell>
          <cell r="O549">
            <v>5.7096774193548381</v>
          </cell>
          <cell r="P549">
            <v>4.9000000000000004</v>
          </cell>
          <cell r="Q549">
            <v>4.064516129032258</v>
          </cell>
          <cell r="R549">
            <v>4.9677419354838719</v>
          </cell>
          <cell r="S549">
            <v>4.3</v>
          </cell>
          <cell r="T549">
            <v>3.903225806451613</v>
          </cell>
          <cell r="U549">
            <v>5.4666666666666668</v>
          </cell>
          <cell r="V549">
            <v>4.967741935483871</v>
          </cell>
          <cell r="W549">
            <v>4.9354838709677411</v>
          </cell>
          <cell r="X549">
            <v>5</v>
          </cell>
          <cell r="Y549">
            <v>4.967741935483871</v>
          </cell>
          <cell r="Z549">
            <v>4.9666666666666668</v>
          </cell>
          <cell r="AA549">
            <v>5</v>
          </cell>
          <cell r="AB549">
            <v>4.9666666666666668</v>
          </cell>
          <cell r="AC549">
            <v>5</v>
          </cell>
          <cell r="AD549">
            <v>5.1612903225806441</v>
          </cell>
          <cell r="AE549">
            <v>4.7333333333333334</v>
          </cell>
          <cell r="AF549">
            <v>5.161290322580645</v>
          </cell>
          <cell r="AG549">
            <v>3.8666666666666667</v>
          </cell>
          <cell r="AH549">
            <v>3.5483870967741931</v>
          </cell>
          <cell r="AI549">
            <v>4.32258064516129</v>
          </cell>
          <cell r="AJ549">
            <v>3.6071428571428572</v>
          </cell>
          <cell r="AK549">
            <v>5</v>
          </cell>
          <cell r="AL549">
            <v>6.5</v>
          </cell>
          <cell r="AM549">
            <v>5.741935483870968</v>
          </cell>
          <cell r="AN549">
            <v>4.4333333333333336</v>
          </cell>
          <cell r="AO549">
            <v>4.774193548387097</v>
          </cell>
          <cell r="AP549">
            <v>4.1612903225806459</v>
          </cell>
          <cell r="AQ549">
            <v>4.1333333333333329</v>
          </cell>
          <cell r="AR549">
            <v>4.5161290322580641</v>
          </cell>
          <cell r="AS549">
            <v>4.2</v>
          </cell>
          <cell r="AT549">
            <v>4.064516129032258</v>
          </cell>
          <cell r="AU549">
            <v>3.967741935483871</v>
          </cell>
          <cell r="AV549">
            <v>3.8928571428571432</v>
          </cell>
          <cell r="AW549">
            <v>4</v>
          </cell>
          <cell r="AX549">
            <v>4.5</v>
          </cell>
          <cell r="AY549">
            <v>4.806451612903226</v>
          </cell>
          <cell r="AZ549">
            <v>5</v>
          </cell>
        </row>
        <row r="550">
          <cell r="C550" t="str">
            <v>RFK / Lancaster / 220 Old Common 3</v>
          </cell>
          <cell r="D550" t="str">
            <v>South Central Area Office</v>
          </cell>
          <cell r="F550">
            <v>0.38709677419354838</v>
          </cell>
          <cell r="G550">
            <v>1</v>
          </cell>
          <cell r="H550">
            <v>1</v>
          </cell>
          <cell r="I550">
            <v>0.7</v>
          </cell>
          <cell r="J550">
            <v>1</v>
          </cell>
          <cell r="K550">
            <v>0.87096774193548376</v>
          </cell>
          <cell r="L550">
            <v>1.8214285714285714</v>
          </cell>
          <cell r="M550">
            <v>2</v>
          </cell>
          <cell r="N550">
            <v>1.7666666666666666</v>
          </cell>
          <cell r="O550">
            <v>1.7419354838709677</v>
          </cell>
          <cell r="P550">
            <v>2.9666666666666668</v>
          </cell>
          <cell r="Q550">
            <v>3.096774193548387</v>
          </cell>
          <cell r="R550">
            <v>2.7096774193548385</v>
          </cell>
          <cell r="S550">
            <v>2.8333333333333335</v>
          </cell>
          <cell r="T550">
            <v>2.5161290322580645</v>
          </cell>
          <cell r="U550">
            <v>3</v>
          </cell>
          <cell r="V550">
            <v>3.903225806451613</v>
          </cell>
          <cell r="W550">
            <v>3.870967741935484</v>
          </cell>
          <cell r="X550">
            <v>3.4137931034482758</v>
          </cell>
          <cell r="Y550">
            <v>4</v>
          </cell>
          <cell r="Z550">
            <v>3.9</v>
          </cell>
          <cell r="AA550">
            <v>3.967741935483871</v>
          </cell>
          <cell r="AB550">
            <v>4</v>
          </cell>
          <cell r="AC550">
            <v>4.7096774193548381</v>
          </cell>
          <cell r="AD550">
            <v>4.67741935483871</v>
          </cell>
          <cell r="AE550">
            <v>5</v>
          </cell>
          <cell r="AF550">
            <v>4.290322580645161</v>
          </cell>
          <cell r="AG550">
            <v>3.9333333333333336</v>
          </cell>
          <cell r="AH550">
            <v>4.67741935483871</v>
          </cell>
          <cell r="AI550">
            <v>4</v>
          </cell>
          <cell r="AJ550">
            <v>3.8928571428571428</v>
          </cell>
          <cell r="AK550">
            <v>3</v>
          </cell>
          <cell r="AL550">
            <v>3.7</v>
          </cell>
          <cell r="AM550">
            <v>4.290322580645161</v>
          </cell>
          <cell r="AN550">
            <v>4.5999999999999996</v>
          </cell>
          <cell r="AO550">
            <v>4</v>
          </cell>
          <cell r="AP550">
            <v>3.32258064516129</v>
          </cell>
          <cell r="AQ550">
            <v>1.4666666666666666</v>
          </cell>
          <cell r="AR550">
            <v>1.870967741935484</v>
          </cell>
          <cell r="AS550">
            <v>2.0333333333333332</v>
          </cell>
          <cell r="AT550">
            <v>2.032258064516129</v>
          </cell>
          <cell r="AU550">
            <v>2.4193548387096775</v>
          </cell>
          <cell r="AV550">
            <v>3</v>
          </cell>
          <cell r="AW550">
            <v>2.6129032258064515</v>
          </cell>
          <cell r="AX550">
            <v>2.9333333333333336</v>
          </cell>
          <cell r="AY550">
            <v>2</v>
          </cell>
          <cell r="AZ550">
            <v>2</v>
          </cell>
        </row>
        <row r="551">
          <cell r="C551" t="str">
            <v>RFK / Lancaster / 220 Old Common 4</v>
          </cell>
          <cell r="D551" t="str">
            <v>Worcester East Area Office</v>
          </cell>
          <cell r="F551">
            <v>2.67741935483871</v>
          </cell>
          <cell r="G551">
            <v>3</v>
          </cell>
          <cell r="H551">
            <v>3</v>
          </cell>
          <cell r="I551">
            <v>1.9</v>
          </cell>
          <cell r="J551">
            <v>2.032258064516129</v>
          </cell>
          <cell r="K551">
            <v>2</v>
          </cell>
          <cell r="L551">
            <v>2.0714285714285716</v>
          </cell>
          <cell r="M551">
            <v>2</v>
          </cell>
          <cell r="N551">
            <v>2.0333333333333332</v>
          </cell>
          <cell r="O551">
            <v>3.3548387096774195</v>
          </cell>
          <cell r="P551">
            <v>2.9666666666666668</v>
          </cell>
          <cell r="Q551">
            <v>2.741935483870968</v>
          </cell>
          <cell r="R551">
            <v>3.32258064516129</v>
          </cell>
          <cell r="S551">
            <v>3.333333333333333</v>
          </cell>
          <cell r="T551">
            <v>3.645161290322581</v>
          </cell>
          <cell r="U551">
            <v>2.6333333333333333</v>
          </cell>
          <cell r="V551">
            <v>3.935483870967742</v>
          </cell>
          <cell r="W551">
            <v>4</v>
          </cell>
          <cell r="X551">
            <v>4</v>
          </cell>
          <cell r="Y551">
            <v>3.1612903225806455</v>
          </cell>
          <cell r="Z551">
            <v>3.7</v>
          </cell>
          <cell r="AA551">
            <v>4</v>
          </cell>
          <cell r="AB551">
            <v>3.7</v>
          </cell>
          <cell r="AC551">
            <v>2.967741935483871</v>
          </cell>
          <cell r="AD551">
            <v>3.096774193548387</v>
          </cell>
          <cell r="AE551">
            <v>2.9</v>
          </cell>
          <cell r="AF551">
            <v>3</v>
          </cell>
          <cell r="AG551">
            <v>2.8</v>
          </cell>
          <cell r="AH551">
            <v>1.096774193548387</v>
          </cell>
          <cell r="AI551">
            <v>3.225806451612903</v>
          </cell>
          <cell r="AJ551">
            <v>3.4285714285714284</v>
          </cell>
          <cell r="AK551">
            <v>1.6451612903225805</v>
          </cell>
          <cell r="AL551">
            <v>1</v>
          </cell>
          <cell r="AM551">
            <v>1.6451612903225805</v>
          </cell>
          <cell r="AN551">
            <v>3</v>
          </cell>
          <cell r="AO551">
            <v>3</v>
          </cell>
          <cell r="AP551">
            <v>3</v>
          </cell>
          <cell r="AQ551">
            <v>2.7333333333333338</v>
          </cell>
          <cell r="AR551">
            <v>3.838709677419355</v>
          </cell>
          <cell r="AS551">
            <v>3.1</v>
          </cell>
          <cell r="AT551">
            <v>2.7096774193548385</v>
          </cell>
          <cell r="AU551">
            <v>3</v>
          </cell>
          <cell r="AV551">
            <v>2.9642857142857144</v>
          </cell>
          <cell r="AW551">
            <v>3</v>
          </cell>
          <cell r="AX551">
            <v>3</v>
          </cell>
          <cell r="AY551">
            <v>3.32258064516129</v>
          </cell>
          <cell r="AZ551">
            <v>3.2</v>
          </cell>
        </row>
        <row r="552">
          <cell r="C552" t="str">
            <v>RFK / Lancaster / 220 Old Common 5</v>
          </cell>
          <cell r="D552" t="str">
            <v>Worcester West Area Office</v>
          </cell>
          <cell r="F552">
            <v>1.129032258064516</v>
          </cell>
          <cell r="G552">
            <v>2</v>
          </cell>
          <cell r="H552">
            <v>2</v>
          </cell>
          <cell r="I552">
            <v>3</v>
          </cell>
          <cell r="J552">
            <v>1.6774193548387095</v>
          </cell>
          <cell r="K552">
            <v>2</v>
          </cell>
          <cell r="L552">
            <v>2</v>
          </cell>
          <cell r="M552">
            <v>1.967741935483871</v>
          </cell>
          <cell r="N552">
            <v>3.1</v>
          </cell>
          <cell r="O552">
            <v>2.709677419354839</v>
          </cell>
          <cell r="P552">
            <v>2.8</v>
          </cell>
          <cell r="Q552">
            <v>2</v>
          </cell>
          <cell r="R552">
            <v>0.967741935483871</v>
          </cell>
          <cell r="S552">
            <v>1.1333333333333333</v>
          </cell>
          <cell r="T552">
            <v>2</v>
          </cell>
          <cell r="U552">
            <v>2</v>
          </cell>
          <cell r="V552">
            <v>2</v>
          </cell>
          <cell r="W552">
            <v>1.2903225806451613</v>
          </cell>
          <cell r="X552">
            <v>2</v>
          </cell>
          <cell r="Y552">
            <v>2</v>
          </cell>
          <cell r="Z552">
            <v>1.9</v>
          </cell>
          <cell r="AA552">
            <v>1.7419354838709677</v>
          </cell>
          <cell r="AB552">
            <v>2</v>
          </cell>
          <cell r="AC552">
            <v>2</v>
          </cell>
          <cell r="AD552">
            <v>1</v>
          </cell>
          <cell r="AE552">
            <v>1</v>
          </cell>
          <cell r="AF552">
            <v>0.93548387096774188</v>
          </cell>
          <cell r="AG552">
            <v>0.83333333333333337</v>
          </cell>
          <cell r="AH552">
            <v>1</v>
          </cell>
          <cell r="AI552">
            <v>1.967741935483871</v>
          </cell>
          <cell r="AJ552">
            <v>1.7857142857142856</v>
          </cell>
          <cell r="AK552">
            <v>1</v>
          </cell>
          <cell r="AL552">
            <v>1.1000000000000001</v>
          </cell>
          <cell r="AM552">
            <v>1.3870967741935485</v>
          </cell>
          <cell r="AN552">
            <v>1.9666666666666668</v>
          </cell>
          <cell r="AO552">
            <v>1.8064516129032258</v>
          </cell>
          <cell r="AP552">
            <v>2</v>
          </cell>
          <cell r="AQ552">
            <v>2.1</v>
          </cell>
          <cell r="AR552">
            <v>2.1935483870967745</v>
          </cell>
          <cell r="AS552">
            <v>1.9666666666666666</v>
          </cell>
          <cell r="AT552">
            <v>1.967741935483871</v>
          </cell>
          <cell r="AU552">
            <v>1.3870967741935485</v>
          </cell>
          <cell r="AV552">
            <v>1.25</v>
          </cell>
          <cell r="AW552">
            <v>3.129032258064516</v>
          </cell>
          <cell r="AX552">
            <v>3.7333333333333334</v>
          </cell>
          <cell r="AY552">
            <v>3</v>
          </cell>
          <cell r="AZ552">
            <v>3</v>
          </cell>
        </row>
        <row r="553">
          <cell r="C553" t="str">
            <v>RFK / S.Yarmouth / 137 Run Pond 1</v>
          </cell>
          <cell r="D553" t="str">
            <v>Brockton Area Office</v>
          </cell>
          <cell r="AM553">
            <v>3.2258064516129031E-2</v>
          </cell>
        </row>
        <row r="554">
          <cell r="C554" t="str">
            <v>RFK / S.Yarmouth / 137 Run Pond 2</v>
          </cell>
          <cell r="D554" t="str">
            <v>Cape Cod Area Office</v>
          </cell>
          <cell r="E554">
            <v>9</v>
          </cell>
          <cell r="F554">
            <v>9.8387096774193541</v>
          </cell>
          <cell r="G554">
            <v>8.6333333333333329</v>
          </cell>
          <cell r="H554">
            <v>8.4516129032258043</v>
          </cell>
          <cell r="I554">
            <v>9.6666666666666679</v>
          </cell>
          <cell r="J554">
            <v>9.3548387096774182</v>
          </cell>
          <cell r="K554">
            <v>7.1612903225806459</v>
          </cell>
          <cell r="L554">
            <v>8.4285714285714288</v>
          </cell>
          <cell r="M554">
            <v>9.806451612903226</v>
          </cell>
          <cell r="N554">
            <v>9.5666666666666664</v>
          </cell>
          <cell r="O554">
            <v>9.5806451612903238</v>
          </cell>
          <cell r="P554">
            <v>11.833333333333332</v>
          </cell>
          <cell r="Q554">
            <v>9.387096774193548</v>
          </cell>
          <cell r="R554">
            <v>9.5483870967741939</v>
          </cell>
          <cell r="S554">
            <v>10.266666666666666</v>
          </cell>
          <cell r="T554">
            <v>10.193548387096774</v>
          </cell>
          <cell r="U554">
            <v>11.666666666666666</v>
          </cell>
          <cell r="V554">
            <v>10.967741935483874</v>
          </cell>
          <cell r="W554">
            <v>11.516129032258064</v>
          </cell>
          <cell r="X554">
            <v>11.310344827586206</v>
          </cell>
          <cell r="Y554">
            <v>10.419354838709678</v>
          </cell>
          <cell r="Z554">
            <v>8.8666666666666654</v>
          </cell>
          <cell r="AA554">
            <v>11.709677419354838</v>
          </cell>
          <cell r="AB554">
            <v>11.833333333333332</v>
          </cell>
          <cell r="AC554">
            <v>11.774193548387096</v>
          </cell>
          <cell r="AD554">
            <v>11.032258064516128</v>
          </cell>
          <cell r="AE554">
            <v>11.7</v>
          </cell>
          <cell r="AF554">
            <v>11.580645161290322</v>
          </cell>
          <cell r="AG554">
            <v>11.666666666666666</v>
          </cell>
          <cell r="AH554">
            <v>11.67741935483871</v>
          </cell>
          <cell r="AI554">
            <v>11.258064516129034</v>
          </cell>
          <cell r="AJ554">
            <v>11.25</v>
          </cell>
          <cell r="AK554">
            <v>11.774193548387098</v>
          </cell>
          <cell r="AL554">
            <v>11.366666666666669</v>
          </cell>
          <cell r="AM554">
            <v>11.03225806451613</v>
          </cell>
          <cell r="AN554">
            <v>11.066666666666668</v>
          </cell>
          <cell r="AO554">
            <v>10.806451612903226</v>
          </cell>
          <cell r="AP554">
            <v>12</v>
          </cell>
          <cell r="AQ554">
            <v>11.266666666666667</v>
          </cell>
          <cell r="AR554">
            <v>11.806451612903226</v>
          </cell>
          <cell r="AS554">
            <v>11.966666666666667</v>
          </cell>
          <cell r="AT554">
            <v>11.161290322580644</v>
          </cell>
          <cell r="AU554">
            <v>11.161290322580644</v>
          </cell>
          <cell r="AV554">
            <v>11.357142857142858</v>
          </cell>
          <cell r="AW554">
            <v>11.838709677419354</v>
          </cell>
          <cell r="AX554">
            <v>11.633333333333333</v>
          </cell>
          <cell r="AY554">
            <v>11.096774193548386</v>
          </cell>
          <cell r="AZ554">
            <v>10.366666666666667</v>
          </cell>
        </row>
        <row r="555">
          <cell r="C555" t="str">
            <v>RFK / S.Yarmouth / 137 Run Pond 3</v>
          </cell>
          <cell r="D555" t="str">
            <v>Lynn Area Office</v>
          </cell>
          <cell r="AK555">
            <v>3.2258064516129031E-2</v>
          </cell>
        </row>
        <row r="556">
          <cell r="C556" t="str">
            <v>RFK / S.Yarmouth / 137 Run Pond 4</v>
          </cell>
          <cell r="D556" t="str">
            <v>New Bedford Area Office</v>
          </cell>
          <cell r="T556">
            <v>9.6774193548387094E-2</v>
          </cell>
          <cell r="Z556">
            <v>0.96666666666666656</v>
          </cell>
          <cell r="AA556">
            <v>9.6774193548387094E-2</v>
          </cell>
          <cell r="AX556">
            <v>0.1</v>
          </cell>
        </row>
        <row r="557">
          <cell r="C557" t="str">
            <v>RFK / S.Yarmouth / 137 Run Pond 5</v>
          </cell>
          <cell r="D557" t="str">
            <v>Plymouth Area Office</v>
          </cell>
          <cell r="E557">
            <v>0.61290322580645162</v>
          </cell>
          <cell r="F557">
            <v>1.7741935483870968</v>
          </cell>
          <cell r="G557">
            <v>1.8333333333333333</v>
          </cell>
          <cell r="H557">
            <v>2</v>
          </cell>
          <cell r="I557">
            <v>1.8666666666666665</v>
          </cell>
          <cell r="J557">
            <v>1.967741935483871</v>
          </cell>
          <cell r="K557">
            <v>2.032258064516129</v>
          </cell>
          <cell r="L557">
            <v>1.9642857142857144</v>
          </cell>
          <cell r="M557">
            <v>1.967741935483871</v>
          </cell>
          <cell r="N557">
            <v>2</v>
          </cell>
          <cell r="O557">
            <v>1.8064516129032258</v>
          </cell>
          <cell r="AO557">
            <v>0.19354838709677419</v>
          </cell>
        </row>
        <row r="558">
          <cell r="C558" t="str">
            <v>RFK / S.Yarmouth / 137 Run Pond 6</v>
          </cell>
          <cell r="D558" t="str">
            <v>Taunton/Attleboro Area Office</v>
          </cell>
          <cell r="AM558">
            <v>9.6774193548387094E-2</v>
          </cell>
        </row>
        <row r="559">
          <cell r="C559" t="str">
            <v>SPIN / Lynn / 50 Newhall Street 1</v>
          </cell>
          <cell r="D559" t="str">
            <v>Arlington Area Office</v>
          </cell>
          <cell r="U559">
            <v>3.3333333333333333E-2</v>
          </cell>
        </row>
        <row r="560">
          <cell r="C560" t="str">
            <v>SPIN / Lynn / 50 Newhall Street 2</v>
          </cell>
          <cell r="D560" t="str">
            <v>Cambridge Fam &amp; Child Srvcs (Adop)</v>
          </cell>
          <cell r="AJ560">
            <v>0.35714285714285715</v>
          </cell>
          <cell r="AK560">
            <v>0.54838709677419351</v>
          </cell>
        </row>
        <row r="561">
          <cell r="C561" t="str">
            <v>SPIN / Lynn / 50 Newhall Street 3</v>
          </cell>
          <cell r="D561" t="str">
            <v>Cape Ann Area Office</v>
          </cell>
          <cell r="M561">
            <v>9.6774193548387094E-2</v>
          </cell>
          <cell r="O561">
            <v>0.16129032258064516</v>
          </cell>
          <cell r="Q561">
            <v>0.967741935483871</v>
          </cell>
          <cell r="R561">
            <v>0.19354838709677419</v>
          </cell>
          <cell r="U561">
            <v>0.1</v>
          </cell>
          <cell r="V561">
            <v>1.032258064516129</v>
          </cell>
          <cell r="W561">
            <v>3.2258064516129031E-2</v>
          </cell>
          <cell r="X561">
            <v>0.17241379310344829</v>
          </cell>
          <cell r="Y561">
            <v>0.32258064516129031</v>
          </cell>
          <cell r="Z561">
            <v>0.1</v>
          </cell>
          <cell r="AD561">
            <v>0.16129032258064516</v>
          </cell>
          <cell r="AE561">
            <v>0.73333333333333328</v>
          </cell>
          <cell r="AJ561">
            <v>1.3928571428571428</v>
          </cell>
          <cell r="AK561">
            <v>0.93548387096774188</v>
          </cell>
          <cell r="AL561">
            <v>6.6666666666666666E-2</v>
          </cell>
          <cell r="AM561">
            <v>0.67741935483870963</v>
          </cell>
          <cell r="AO561">
            <v>0.58064516129032262</v>
          </cell>
          <cell r="AP561">
            <v>1</v>
          </cell>
          <cell r="AQ561">
            <v>1</v>
          </cell>
          <cell r="AR561">
            <v>0.12903225806451613</v>
          </cell>
          <cell r="AS561">
            <v>0.8666666666666667</v>
          </cell>
          <cell r="AT561">
            <v>0.64516129032258063</v>
          </cell>
          <cell r="AV561">
            <v>0.75</v>
          </cell>
          <cell r="AW561">
            <v>0.93548387096774188</v>
          </cell>
          <cell r="AY561">
            <v>0.41935483870967738</v>
          </cell>
          <cell r="AZ561">
            <v>1.5</v>
          </cell>
        </row>
        <row r="562">
          <cell r="C562" t="str">
            <v>SPIN / Lynn / 50 Newhall Street 4</v>
          </cell>
          <cell r="D562" t="str">
            <v>Coastal Area Office</v>
          </cell>
          <cell r="Z562">
            <v>0.2</v>
          </cell>
        </row>
        <row r="563">
          <cell r="C563" t="str">
            <v>SPIN / Lynn / 50 Newhall Street 5</v>
          </cell>
          <cell r="D563" t="str">
            <v>Harbor Area Office</v>
          </cell>
          <cell r="AF563">
            <v>0.19354838709677419</v>
          </cell>
        </row>
        <row r="564">
          <cell r="C564" t="str">
            <v>SPIN / Lynn / 50 Newhall Street 6</v>
          </cell>
          <cell r="D564" t="str">
            <v>Haverhill Area Office</v>
          </cell>
          <cell r="M564">
            <v>6.4516129032258063E-2</v>
          </cell>
          <cell r="N564">
            <v>0.3</v>
          </cell>
          <cell r="O564">
            <v>0.16129032258064516</v>
          </cell>
          <cell r="T564">
            <v>1</v>
          </cell>
          <cell r="U564">
            <v>3.3333333333333333E-2</v>
          </cell>
          <cell r="AB564">
            <v>0.6</v>
          </cell>
          <cell r="AC564">
            <v>0.4838709677419355</v>
          </cell>
          <cell r="AF564">
            <v>0.29032258064516131</v>
          </cell>
          <cell r="AM564">
            <v>0.16129032258064516</v>
          </cell>
          <cell r="AN564">
            <v>6.6666666666666666E-2</v>
          </cell>
          <cell r="AV564">
            <v>0.42857142857142855</v>
          </cell>
          <cell r="AW564">
            <v>0.67741935483870974</v>
          </cell>
        </row>
        <row r="565">
          <cell r="C565" t="str">
            <v>SPIN / Lynn / 50 Newhall Street 7</v>
          </cell>
          <cell r="D565" t="str">
            <v>Lawrence Area Office</v>
          </cell>
          <cell r="N565">
            <v>3.3333333333333333E-2</v>
          </cell>
          <cell r="AO565">
            <v>0.16129032258064516</v>
          </cell>
          <cell r="AP565">
            <v>0.38709677419354838</v>
          </cell>
        </row>
        <row r="566">
          <cell r="C566" t="str">
            <v>SPIN / Lynn / 50 Newhall Street 8</v>
          </cell>
          <cell r="D566" t="str">
            <v>Lowell Area Office</v>
          </cell>
          <cell r="O566">
            <v>9.6774193548387094E-2</v>
          </cell>
          <cell r="P566">
            <v>0.8666666666666667</v>
          </cell>
          <cell r="Q566">
            <v>0.12903225806451613</v>
          </cell>
          <cell r="Z566">
            <v>0.26666666666666666</v>
          </cell>
          <cell r="AA566">
            <v>0.12903225806451613</v>
          </cell>
          <cell r="AF566">
            <v>3.2258064516129031E-2</v>
          </cell>
          <cell r="AG566">
            <v>0.1</v>
          </cell>
          <cell r="AH566">
            <v>0.58064516129032251</v>
          </cell>
          <cell r="AM566">
            <v>6.4516129032258063E-2</v>
          </cell>
        </row>
        <row r="567">
          <cell r="C567" t="str">
            <v>SPIN / Lynn / 50 Newhall Street 9</v>
          </cell>
          <cell r="D567" t="str">
            <v>Lynn Area Office</v>
          </cell>
          <cell r="G567">
            <v>4.5</v>
          </cell>
          <cell r="H567">
            <v>10.064516129032256</v>
          </cell>
          <cell r="I567">
            <v>10.5</v>
          </cell>
          <cell r="J567">
            <v>8.2258064516129039</v>
          </cell>
          <cell r="K567">
            <v>5.354838709677419</v>
          </cell>
          <cell r="L567">
            <v>1.3214285714285712</v>
          </cell>
          <cell r="M567">
            <v>7.838709677419355</v>
          </cell>
          <cell r="N567">
            <v>10.1</v>
          </cell>
          <cell r="O567">
            <v>7.4516129032258061</v>
          </cell>
          <cell r="P567">
            <v>7.2666666666666675</v>
          </cell>
          <cell r="Q567">
            <v>8.9677419354838719</v>
          </cell>
          <cell r="R567">
            <v>7.9354838709677411</v>
          </cell>
          <cell r="S567">
            <v>6.333333333333333</v>
          </cell>
          <cell r="T567">
            <v>8.2258064516129021</v>
          </cell>
          <cell r="U567">
            <v>8.8333333333333339</v>
          </cell>
          <cell r="V567">
            <v>6.967741935483871</v>
          </cell>
          <cell r="W567">
            <v>8.3548387096774199</v>
          </cell>
          <cell r="X567">
            <v>6.4137931034482767</v>
          </cell>
          <cell r="Y567">
            <v>8.870967741935484</v>
          </cell>
          <cell r="Z567">
            <v>8.8000000000000007</v>
          </cell>
          <cell r="AA567">
            <v>8.9032258064516103</v>
          </cell>
          <cell r="AB567">
            <v>9.466666666666665</v>
          </cell>
          <cell r="AC567">
            <v>9.7741935483870961</v>
          </cell>
          <cell r="AD567">
            <v>9.0322580645161299</v>
          </cell>
          <cell r="AE567">
            <v>7.3</v>
          </cell>
          <cell r="AF567">
            <v>8.4516129032258061</v>
          </cell>
          <cell r="AG567">
            <v>9.6999999999999993</v>
          </cell>
          <cell r="AH567">
            <v>9.0967741935483879</v>
          </cell>
          <cell r="AI567">
            <v>9.4516129032258043</v>
          </cell>
          <cell r="AJ567">
            <v>5</v>
          </cell>
          <cell r="AK567">
            <v>6.129032258064516</v>
          </cell>
          <cell r="AL567">
            <v>9.4666666666666668</v>
          </cell>
          <cell r="AM567">
            <v>7.6774193548387073</v>
          </cell>
          <cell r="AN567">
            <v>11.366666666666667</v>
          </cell>
          <cell r="AO567">
            <v>7.645161290322581</v>
          </cell>
          <cell r="AP567">
            <v>6.419354838709677</v>
          </cell>
          <cell r="AQ567">
            <v>4.9666666666666677</v>
          </cell>
          <cell r="AR567">
            <v>7.3870967741935472</v>
          </cell>
          <cell r="AS567">
            <v>10.199999999999999</v>
          </cell>
          <cell r="AT567">
            <v>9.064516129032258</v>
          </cell>
          <cell r="AU567">
            <v>8.5483870967741939</v>
          </cell>
          <cell r="AV567">
            <v>8.1071428571428577</v>
          </cell>
          <cell r="AW567">
            <v>6.7419354838709662</v>
          </cell>
          <cell r="AX567">
            <v>10.5</v>
          </cell>
          <cell r="AY567">
            <v>8.806451612903226</v>
          </cell>
          <cell r="AZ567">
            <v>8.3666666666666671</v>
          </cell>
        </row>
        <row r="568">
          <cell r="C568" t="str">
            <v>SPIN / Lynn / 50 Newhall Street 10</v>
          </cell>
          <cell r="D568" t="str">
            <v>Malden Area Office</v>
          </cell>
          <cell r="P568">
            <v>0.1</v>
          </cell>
          <cell r="W568">
            <v>0.58064516129032251</v>
          </cell>
          <cell r="Z568">
            <v>0.2</v>
          </cell>
          <cell r="AB568">
            <v>0.43333333333333329</v>
          </cell>
          <cell r="AC568">
            <v>0.967741935483871</v>
          </cell>
          <cell r="AJ568">
            <v>0.35714285714285715</v>
          </cell>
          <cell r="AK568">
            <v>1</v>
          </cell>
          <cell r="AL568">
            <v>6.6666666666666666E-2</v>
          </cell>
          <cell r="AO568">
            <v>0.12903225806451613</v>
          </cell>
          <cell r="AP568">
            <v>0.77419354838709675</v>
          </cell>
          <cell r="AZ568">
            <v>0.23333333333333334</v>
          </cell>
        </row>
        <row r="569">
          <cell r="C569" t="str">
            <v>SPIN / Lynn / 50 Newhall Street 11</v>
          </cell>
          <cell r="D569" t="str">
            <v>(blank)</v>
          </cell>
          <cell r="AJ569">
            <v>0.3214285714285714</v>
          </cell>
          <cell r="AK569">
            <v>1</v>
          </cell>
        </row>
        <row r="570">
          <cell r="C570" t="str">
            <v>St Vincent's/FallRiver/2425Highland 1</v>
          </cell>
          <cell r="D570" t="str">
            <v>Brockton Area Office</v>
          </cell>
          <cell r="I570">
            <v>2</v>
          </cell>
          <cell r="J570">
            <v>1.2903225806451615</v>
          </cell>
          <cell r="L570">
            <v>0.14285714285714285</v>
          </cell>
          <cell r="S570">
            <v>0.9</v>
          </cell>
          <cell r="T570">
            <v>1</v>
          </cell>
          <cell r="U570">
            <v>1</v>
          </cell>
          <cell r="V570">
            <v>0.29032258064516131</v>
          </cell>
          <cell r="W570">
            <v>2.387096774193548</v>
          </cell>
          <cell r="X570">
            <v>2.7241379310344827</v>
          </cell>
          <cell r="Y570">
            <v>2</v>
          </cell>
          <cell r="Z570">
            <v>2.8</v>
          </cell>
          <cell r="AA570">
            <v>2.774193548387097</v>
          </cell>
          <cell r="AB570">
            <v>2.9333333333333331</v>
          </cell>
          <cell r="AC570">
            <v>2.193548387096774</v>
          </cell>
          <cell r="AD570">
            <v>2.129032258064516</v>
          </cell>
          <cell r="AE570">
            <v>1.9333333333333333</v>
          </cell>
          <cell r="AF570">
            <v>1.129032258064516</v>
          </cell>
          <cell r="AG570">
            <v>0.53333333333333333</v>
          </cell>
        </row>
        <row r="571">
          <cell r="C571" t="str">
            <v>St Vincent's/FallRiver/2425Highland 2</v>
          </cell>
          <cell r="D571" t="str">
            <v>Cape Cod Area Office</v>
          </cell>
          <cell r="I571">
            <v>0.93333333333333335</v>
          </cell>
          <cell r="J571">
            <v>1</v>
          </cell>
          <cell r="K571">
            <v>0.90322580645161288</v>
          </cell>
          <cell r="Y571">
            <v>0.93548387096774188</v>
          </cell>
          <cell r="Z571">
            <v>0.8</v>
          </cell>
          <cell r="AC571">
            <v>0.80645161290322576</v>
          </cell>
          <cell r="AD571">
            <v>1</v>
          </cell>
          <cell r="AE571">
            <v>1</v>
          </cell>
          <cell r="AF571">
            <v>0.16129032258064516</v>
          </cell>
          <cell r="AG571">
            <v>0.33333333333333331</v>
          </cell>
          <cell r="AH571">
            <v>1</v>
          </cell>
          <cell r="AI571">
            <v>0.25806451612903225</v>
          </cell>
          <cell r="AJ571">
            <v>0.2857142857142857</v>
          </cell>
          <cell r="AK571">
            <v>1.4193548387096775</v>
          </cell>
          <cell r="AL571">
            <v>1.9666666666666666</v>
          </cell>
          <cell r="AM571">
            <v>2.3548387096774195</v>
          </cell>
          <cell r="AN571">
            <v>1.2333333333333334</v>
          </cell>
          <cell r="AO571">
            <v>1</v>
          </cell>
          <cell r="AP571">
            <v>0.19354838709677419</v>
          </cell>
          <cell r="AQ571">
            <v>6.6666666666666666E-2</v>
          </cell>
          <cell r="AS571">
            <v>0.6333333333333333</v>
          </cell>
          <cell r="AT571">
            <v>1</v>
          </cell>
          <cell r="AU571">
            <v>1.838709677419355</v>
          </cell>
          <cell r="AV571">
            <v>2.5</v>
          </cell>
          <cell r="AW571">
            <v>2</v>
          </cell>
          <cell r="AX571">
            <v>0.6333333333333333</v>
          </cell>
          <cell r="AY571">
            <v>0.54838709677419351</v>
          </cell>
          <cell r="AZ571">
            <v>0.9</v>
          </cell>
        </row>
        <row r="572">
          <cell r="C572" t="str">
            <v>St Vincent's/FallRiver/2425Highland 3</v>
          </cell>
          <cell r="D572" t="str">
            <v>Coastal Area Office</v>
          </cell>
          <cell r="V572">
            <v>0.35483870967741937</v>
          </cell>
          <cell r="W572">
            <v>3.2258064516129031E-2</v>
          </cell>
        </row>
        <row r="573">
          <cell r="C573" t="str">
            <v>St Vincent's/FallRiver/2425Highland 4</v>
          </cell>
          <cell r="D573" t="str">
            <v>Fall River Area Office</v>
          </cell>
          <cell r="G573">
            <v>1.4333333333333331</v>
          </cell>
          <cell r="H573">
            <v>4.5483870967741939</v>
          </cell>
          <cell r="I573">
            <v>6</v>
          </cell>
          <cell r="J573">
            <v>5.4838709677419359</v>
          </cell>
          <cell r="K573">
            <v>5.3225806451612891</v>
          </cell>
          <cell r="L573">
            <v>6.2857142857142856</v>
          </cell>
          <cell r="M573">
            <v>6.935483870967742</v>
          </cell>
          <cell r="N573">
            <v>7.8</v>
          </cell>
          <cell r="O573">
            <v>6.32258064516129</v>
          </cell>
          <cell r="P573">
            <v>6.8333333333333339</v>
          </cell>
          <cell r="Q573">
            <v>5.645161290322581</v>
          </cell>
          <cell r="R573">
            <v>5.903225806451613</v>
          </cell>
          <cell r="S573">
            <v>5.5333333333333332</v>
          </cell>
          <cell r="T573">
            <v>6</v>
          </cell>
          <cell r="U573">
            <v>5.9333333333333336</v>
          </cell>
          <cell r="V573">
            <v>5.6451612903225801</v>
          </cell>
          <cell r="W573">
            <v>4.32258064516129</v>
          </cell>
          <cell r="X573">
            <v>5.4827586206896548</v>
          </cell>
          <cell r="Y573">
            <v>6</v>
          </cell>
          <cell r="Z573">
            <v>5.0333333333333332</v>
          </cell>
          <cell r="AA573">
            <v>4</v>
          </cell>
          <cell r="AB573">
            <v>4</v>
          </cell>
          <cell r="AC573">
            <v>3.3225806451612905</v>
          </cell>
          <cell r="AD573">
            <v>3.935483870967742</v>
          </cell>
          <cell r="AE573">
            <v>2.7333333333333334</v>
          </cell>
          <cell r="AF573">
            <v>3.8064516129032255</v>
          </cell>
          <cell r="AG573">
            <v>5.8</v>
          </cell>
          <cell r="AH573">
            <v>6.032258064516129</v>
          </cell>
          <cell r="AI573">
            <v>5.354838709677419</v>
          </cell>
          <cell r="AJ573">
            <v>7.1428571428571432</v>
          </cell>
          <cell r="AK573">
            <v>6.129032258064516</v>
          </cell>
          <cell r="AL573">
            <v>5</v>
          </cell>
          <cell r="AM573">
            <v>5.387096774193548</v>
          </cell>
          <cell r="AN573">
            <v>6.9333333333333336</v>
          </cell>
          <cell r="AO573">
            <v>7.6129032258064511</v>
          </cell>
          <cell r="AP573">
            <v>7.4838709677419359</v>
          </cell>
          <cell r="AQ573">
            <v>5.1333333333333337</v>
          </cell>
          <cell r="AR573">
            <v>3.5161290322580645</v>
          </cell>
          <cell r="AS573">
            <v>5.0999999999999996</v>
          </cell>
          <cell r="AT573">
            <v>5.5161290322580641</v>
          </cell>
          <cell r="AU573">
            <v>5.290322580645161</v>
          </cell>
          <cell r="AV573">
            <v>2.6071428571428572</v>
          </cell>
          <cell r="AW573">
            <v>5.0322580645161281</v>
          </cell>
          <cell r="AX573">
            <v>3.7666666666666666</v>
          </cell>
          <cell r="AY573">
            <v>4.5161290322580641</v>
          </cell>
          <cell r="AZ573">
            <v>5.9333333333333336</v>
          </cell>
        </row>
        <row r="574">
          <cell r="C574" t="str">
            <v>St Vincent's/FallRiver/2425Highland 5</v>
          </cell>
          <cell r="D574" t="str">
            <v>New Bedford Area Office</v>
          </cell>
          <cell r="AG574">
            <v>0.16666666666666666</v>
          </cell>
          <cell r="AH574">
            <v>1</v>
          </cell>
          <cell r="AI574">
            <v>0.87096774193548387</v>
          </cell>
          <cell r="AJ574">
            <v>0.5714285714285714</v>
          </cell>
          <cell r="AK574">
            <v>1.3870967741935485</v>
          </cell>
          <cell r="AL574">
            <v>2</v>
          </cell>
          <cell r="AM574">
            <v>0.83870967741935487</v>
          </cell>
          <cell r="AN574">
            <v>0.73333333333333328</v>
          </cell>
          <cell r="AS574">
            <v>0.33333333333333331</v>
          </cell>
          <cell r="AT574">
            <v>0.35483870967741937</v>
          </cell>
          <cell r="AU574">
            <v>1.096774193548387</v>
          </cell>
          <cell r="AV574">
            <v>0.64285714285714279</v>
          </cell>
          <cell r="AW574">
            <v>0.12903225806451613</v>
          </cell>
          <cell r="AX574">
            <v>1.4333333333333333</v>
          </cell>
          <cell r="AY574">
            <v>1.870967741935484</v>
          </cell>
          <cell r="AZ574">
            <v>0.1</v>
          </cell>
        </row>
        <row r="575">
          <cell r="C575" t="str">
            <v>St Vincent's/FallRiver/2425Highland 6</v>
          </cell>
          <cell r="D575" t="str">
            <v>New Bedford Child and Family (Adop)</v>
          </cell>
          <cell r="AC575">
            <v>1.5161290322580645</v>
          </cell>
          <cell r="AD575">
            <v>0.22580645161290322</v>
          </cell>
        </row>
        <row r="576">
          <cell r="C576" t="str">
            <v>St Vincent's/FallRiver/2425Highland 7</v>
          </cell>
          <cell r="D576" t="str">
            <v>Plymouth Area Office</v>
          </cell>
          <cell r="R576">
            <v>9.6774193548387094E-2</v>
          </cell>
          <cell r="S576">
            <v>1.3666666666666667</v>
          </cell>
          <cell r="T576">
            <v>2</v>
          </cell>
          <cell r="U576">
            <v>2</v>
          </cell>
          <cell r="V576">
            <v>0.77419354838709675</v>
          </cell>
          <cell r="AF576">
            <v>0.58064516129032262</v>
          </cell>
          <cell r="AG576">
            <v>0.6</v>
          </cell>
          <cell r="AH576">
            <v>0.41935483870967744</v>
          </cell>
          <cell r="AI576">
            <v>1</v>
          </cell>
          <cell r="AJ576">
            <v>0.10714285714285714</v>
          </cell>
          <cell r="AU576">
            <v>0.64516129032258063</v>
          </cell>
          <cell r="AV576">
            <v>0.75</v>
          </cell>
          <cell r="AW576">
            <v>3.2258064516129031E-2</v>
          </cell>
        </row>
        <row r="577">
          <cell r="C577" t="str">
            <v>St Vincent's/FallRiver/2425Highland 8</v>
          </cell>
          <cell r="D577" t="str">
            <v>Taunton/Attleboro Area Office</v>
          </cell>
          <cell r="O577">
            <v>0.87096774193548387</v>
          </cell>
          <cell r="Q577">
            <v>0.61290322580645162</v>
          </cell>
          <cell r="R577">
            <v>0.967741935483871</v>
          </cell>
          <cell r="AC577">
            <v>0.64516129032258063</v>
          </cell>
          <cell r="AD577">
            <v>1</v>
          </cell>
          <cell r="AE577">
            <v>1</v>
          </cell>
          <cell r="AF577">
            <v>0.83870967741935487</v>
          </cell>
          <cell r="AG577">
            <v>0.7</v>
          </cell>
          <cell r="AH577">
            <v>0.61290322580645162</v>
          </cell>
          <cell r="AR577">
            <v>0.12903225806451613</v>
          </cell>
          <cell r="AS577">
            <v>1.2666666666666666</v>
          </cell>
          <cell r="AT577">
            <v>1.4838709677419355</v>
          </cell>
          <cell r="AX577">
            <v>1.3</v>
          </cell>
          <cell r="AY577">
            <v>2</v>
          </cell>
          <cell r="AZ577">
            <v>2</v>
          </cell>
        </row>
        <row r="578">
          <cell r="C578" t="str">
            <v>St Vincent's/FallRiver/2425Highland 9</v>
          </cell>
          <cell r="D578" t="str">
            <v>(blank)</v>
          </cell>
          <cell r="Q578">
            <v>1</v>
          </cell>
          <cell r="R578">
            <v>0.967741935483871</v>
          </cell>
        </row>
        <row r="579">
          <cell r="C579" t="str">
            <v>TeamCoord / Bradford / 4 S. Kimball 1</v>
          </cell>
          <cell r="D579" t="str">
            <v>Cambridge Area Office</v>
          </cell>
          <cell r="T579">
            <v>3.2258064516129031E-2</v>
          </cell>
          <cell r="AY579">
            <v>6.4516129032258063E-2</v>
          </cell>
        </row>
        <row r="580">
          <cell r="C580" t="str">
            <v>TeamCoord / Bradford / 4 S. Kimball 2</v>
          </cell>
          <cell r="D580" t="str">
            <v>Cape Ann Area Office</v>
          </cell>
          <cell r="O580">
            <v>0.12903225806451613</v>
          </cell>
          <cell r="S580">
            <v>0.16666666666666666</v>
          </cell>
          <cell r="T580">
            <v>0.45161290322580644</v>
          </cell>
          <cell r="AE580">
            <v>0.43333333333333335</v>
          </cell>
          <cell r="AF580">
            <v>3.2258064516129031E-2</v>
          </cell>
        </row>
        <row r="581">
          <cell r="C581" t="str">
            <v>TeamCoord / Bradford / 4 S. Kimball 3</v>
          </cell>
          <cell r="D581" t="str">
            <v>Haverhill Area Office</v>
          </cell>
          <cell r="G581">
            <v>1.9333333333333331</v>
          </cell>
          <cell r="H581">
            <v>5.6129032258064511</v>
          </cell>
          <cell r="I581">
            <v>8.8666666666666671</v>
          </cell>
          <cell r="J581">
            <v>8.3548387096774199</v>
          </cell>
          <cell r="K581">
            <v>7.5161290322580658</v>
          </cell>
          <cell r="L581">
            <v>8.8928571428571441</v>
          </cell>
          <cell r="M581">
            <v>9.3548387096774182</v>
          </cell>
          <cell r="N581">
            <v>7.8333333333333339</v>
          </cell>
          <cell r="O581">
            <v>9.129032258064516</v>
          </cell>
          <cell r="P581">
            <v>7.9666666666666668</v>
          </cell>
          <cell r="Q581">
            <v>5.645161290322581</v>
          </cell>
          <cell r="R581">
            <v>5.064516129032258</v>
          </cell>
          <cell r="S581">
            <v>3.2666666666666666</v>
          </cell>
          <cell r="T581">
            <v>4.935483870967742</v>
          </cell>
          <cell r="U581">
            <v>5.5</v>
          </cell>
          <cell r="V581">
            <v>4.7096774193548381</v>
          </cell>
          <cell r="W581">
            <v>5.354838709677419</v>
          </cell>
          <cell r="X581">
            <v>5.4482758620689653</v>
          </cell>
          <cell r="Y581">
            <v>3.67741935483871</v>
          </cell>
          <cell r="Z581">
            <v>3.9333333333333327</v>
          </cell>
          <cell r="AA581">
            <v>4.064516129032258</v>
          </cell>
          <cell r="AB581">
            <v>2.6666666666666665</v>
          </cell>
          <cell r="AC581">
            <v>4.838709677419355</v>
          </cell>
          <cell r="AD581">
            <v>4.096774193548387</v>
          </cell>
          <cell r="AE581">
            <v>2.1666666666666665</v>
          </cell>
          <cell r="AF581">
            <v>4.4838709677419351</v>
          </cell>
          <cell r="AG581">
            <v>4.9666666666666668</v>
          </cell>
          <cell r="AH581">
            <v>4.064516129032258</v>
          </cell>
          <cell r="AI581">
            <v>5.5161290322580641</v>
          </cell>
          <cell r="AJ581">
            <v>4.1785714285714288</v>
          </cell>
          <cell r="AK581">
            <v>1.2580645161290323</v>
          </cell>
          <cell r="AL581">
            <v>2.4333333333333331</v>
          </cell>
          <cell r="AM581">
            <v>5.225806451612903</v>
          </cell>
          <cell r="AN581">
            <v>5.0333333333333332</v>
          </cell>
          <cell r="AO581">
            <v>2.225806451612903</v>
          </cell>
          <cell r="AP581">
            <v>1.5483870967741933</v>
          </cell>
          <cell r="AQ581">
            <v>2.8</v>
          </cell>
          <cell r="AR581">
            <v>3.741935483870968</v>
          </cell>
          <cell r="AS581">
            <v>2.2333333333333334</v>
          </cell>
          <cell r="AT581">
            <v>2.290322580645161</v>
          </cell>
          <cell r="AU581">
            <v>2.7419354838709675</v>
          </cell>
          <cell r="AV581">
            <v>2.6428571428571428</v>
          </cell>
          <cell r="AW581">
            <v>2.4838709677419355</v>
          </cell>
          <cell r="AX581">
            <v>4.0999999999999996</v>
          </cell>
          <cell r="AY581">
            <v>3.806451612903226</v>
          </cell>
          <cell r="AZ581">
            <v>2.666666666666667</v>
          </cell>
        </row>
        <row r="582">
          <cell r="C582" t="str">
            <v>TeamCoord / Bradford / 4 S. Kimball 4</v>
          </cell>
          <cell r="D582" t="str">
            <v>Lawrence Area Office</v>
          </cell>
          <cell r="I582">
            <v>3.3333333333333333E-2</v>
          </cell>
          <cell r="J582">
            <v>3.2258064516129031E-2</v>
          </cell>
          <cell r="M582">
            <v>6.4516129032258063E-2</v>
          </cell>
          <cell r="N582">
            <v>0.16666666666666669</v>
          </cell>
          <cell r="S582">
            <v>0.7</v>
          </cell>
          <cell r="AL582">
            <v>0.8</v>
          </cell>
          <cell r="AP582">
            <v>9.6774193548387094E-2</v>
          </cell>
          <cell r="AQ582">
            <v>0.96666666666666667</v>
          </cell>
          <cell r="AR582">
            <v>0.5161290322580645</v>
          </cell>
          <cell r="AT582">
            <v>0.70967741935483875</v>
          </cell>
          <cell r="AU582">
            <v>0.67741935483870963</v>
          </cell>
        </row>
        <row r="583">
          <cell r="C583" t="str">
            <v>TeamCoord / Bradford / 4 S. Kimball 5</v>
          </cell>
          <cell r="D583" t="str">
            <v>Lowell Area Office</v>
          </cell>
          <cell r="N583">
            <v>0.43333333333333335</v>
          </cell>
          <cell r="O583">
            <v>3.2258064516129031E-2</v>
          </cell>
          <cell r="AD583">
            <v>0.16129032258064516</v>
          </cell>
          <cell r="AE583">
            <v>0.2</v>
          </cell>
          <cell r="AF583">
            <v>0.58064516129032251</v>
          </cell>
          <cell r="AG583">
            <v>6.6666666666666666E-2</v>
          </cell>
          <cell r="AJ583">
            <v>0.4285714285714286</v>
          </cell>
          <cell r="AK583">
            <v>0.93548387096774188</v>
          </cell>
          <cell r="AL583">
            <v>0.46666666666666667</v>
          </cell>
          <cell r="AM583">
            <v>0.5161290322580645</v>
          </cell>
          <cell r="AN583">
            <v>0.26666666666666666</v>
          </cell>
          <cell r="AO583">
            <v>1.4516129032258065</v>
          </cell>
          <cell r="AP583">
            <v>0.80645161290322587</v>
          </cell>
          <cell r="AR583">
            <v>6.4516129032258063E-2</v>
          </cell>
          <cell r="AS583">
            <v>6.6666666666666666E-2</v>
          </cell>
          <cell r="AU583">
            <v>0.58064516129032262</v>
          </cell>
          <cell r="AV583">
            <v>0.64285714285714279</v>
          </cell>
          <cell r="AW583">
            <v>1</v>
          </cell>
          <cell r="AX583">
            <v>0.93333333333333335</v>
          </cell>
          <cell r="AY583">
            <v>1.870967741935484</v>
          </cell>
          <cell r="AZ583">
            <v>1.9</v>
          </cell>
        </row>
        <row r="584">
          <cell r="C584" t="str">
            <v>TeamCoord / Bradford / 4 S. Kimball 6</v>
          </cell>
          <cell r="D584" t="str">
            <v>Lynn Area Office</v>
          </cell>
          <cell r="K584">
            <v>0.93548387096774188</v>
          </cell>
          <cell r="N584">
            <v>0.73333333333333328</v>
          </cell>
          <cell r="O584">
            <v>0.19354838709677419</v>
          </cell>
          <cell r="P584">
            <v>1</v>
          </cell>
          <cell r="Q584">
            <v>0.16129032258064516</v>
          </cell>
          <cell r="AB584">
            <v>0.73333333333333328</v>
          </cell>
          <cell r="AC584">
            <v>0.4838709677419355</v>
          </cell>
          <cell r="AE584">
            <v>0.3</v>
          </cell>
          <cell r="AO584">
            <v>0.12903225806451613</v>
          </cell>
          <cell r="AP584">
            <v>0.74193548387096775</v>
          </cell>
          <cell r="AS584">
            <v>0.36666666666666664</v>
          </cell>
          <cell r="AT584">
            <v>0.35483870967741937</v>
          </cell>
          <cell r="AV584">
            <v>0.4642857142857143</v>
          </cell>
        </row>
        <row r="585">
          <cell r="C585" t="str">
            <v>TeamCoord / Bradford / 4 S. Kimball 7</v>
          </cell>
          <cell r="D585" t="str">
            <v>Solutions for Living (PAS NE)</v>
          </cell>
          <cell r="AV585">
            <v>0.25</v>
          </cell>
          <cell r="AW585">
            <v>1</v>
          </cell>
          <cell r="AX585">
            <v>0.2</v>
          </cell>
        </row>
        <row r="586">
          <cell r="C586" t="str">
            <v>TeamCoord / Haverhill / 20NewcombSt 1</v>
          </cell>
          <cell r="D586" t="str">
            <v>Cape Ann Area Office</v>
          </cell>
          <cell r="P586">
            <v>3.3333333333333333E-2</v>
          </cell>
          <cell r="AZ586">
            <v>3.3333333333333333E-2</v>
          </cell>
        </row>
        <row r="587">
          <cell r="C587" t="str">
            <v>TeamCoord / Haverhill / 20NewcombSt 2</v>
          </cell>
          <cell r="D587" t="str">
            <v>Haverhill Area Office</v>
          </cell>
          <cell r="G587">
            <v>3.3333333333333335</v>
          </cell>
          <cell r="H587">
            <v>4.258064516129032</v>
          </cell>
          <cell r="I587">
            <v>1.3</v>
          </cell>
          <cell r="O587">
            <v>1.161290322580645</v>
          </cell>
          <cell r="P587">
            <v>1.9333333333333331</v>
          </cell>
          <cell r="Q587">
            <v>5.4838709677419359</v>
          </cell>
          <cell r="R587">
            <v>1.2258064516129032</v>
          </cell>
          <cell r="S587">
            <v>2.8666666666666667</v>
          </cell>
          <cell r="T587">
            <v>3.290322580645161</v>
          </cell>
          <cell r="U587">
            <v>5.0666666666666673</v>
          </cell>
          <cell r="V587">
            <v>5.064516129032258</v>
          </cell>
          <cell r="W587">
            <v>5.0322580645161281</v>
          </cell>
          <cell r="X587">
            <v>5.931034482758621</v>
          </cell>
          <cell r="Y587">
            <v>4.419354838709677</v>
          </cell>
          <cell r="Z587">
            <v>5.5</v>
          </cell>
          <cell r="AA587">
            <v>5.1935483870967749</v>
          </cell>
          <cell r="AB587">
            <v>3.4666666666666663</v>
          </cell>
          <cell r="AC587">
            <v>2.32258064516129</v>
          </cell>
          <cell r="AD587">
            <v>2.903225806451613</v>
          </cell>
          <cell r="AE587">
            <v>5.8666666666666663</v>
          </cell>
          <cell r="AF587">
            <v>5.774193548387097</v>
          </cell>
          <cell r="AG587">
            <v>4.2</v>
          </cell>
          <cell r="AH587">
            <v>5.0645161290322571</v>
          </cell>
          <cell r="AI587">
            <v>5.161290322580645</v>
          </cell>
          <cell r="AJ587">
            <v>1.9285714285714286</v>
          </cell>
          <cell r="AK587">
            <v>1.2580645161290323</v>
          </cell>
          <cell r="AL587">
            <v>2.3333333333333335</v>
          </cell>
          <cell r="AM587">
            <v>2.096774193548387</v>
          </cell>
          <cell r="AN587">
            <v>1.3</v>
          </cell>
          <cell r="AO587">
            <v>2.096774193548387</v>
          </cell>
          <cell r="AP587">
            <v>2.6129032258064515</v>
          </cell>
          <cell r="AQ587">
            <v>3.1</v>
          </cell>
          <cell r="AR587">
            <v>4.129032258064516</v>
          </cell>
          <cell r="AS587">
            <v>3.7</v>
          </cell>
          <cell r="AT587">
            <v>2.774193548387097</v>
          </cell>
          <cell r="AU587">
            <v>3.4838709677419355</v>
          </cell>
          <cell r="AV587">
            <v>3.3928571428571428</v>
          </cell>
          <cell r="AW587">
            <v>1.2903225806451613</v>
          </cell>
          <cell r="AX587">
            <v>0.46666666666666667</v>
          </cell>
          <cell r="AY587">
            <v>2.6451612903225801</v>
          </cell>
          <cell r="AZ587">
            <v>0.93333333333333335</v>
          </cell>
        </row>
        <row r="588">
          <cell r="C588" t="str">
            <v>TeamCoord / Haverhill / 20NewcombSt 3</v>
          </cell>
          <cell r="D588" t="str">
            <v>Lawrence Area Office</v>
          </cell>
          <cell r="S588">
            <v>0.46666666666666667</v>
          </cell>
          <cell r="T588">
            <v>0.45161290322580644</v>
          </cell>
          <cell r="AA588">
            <v>9.6774193548387094E-2</v>
          </cell>
          <cell r="AB588">
            <v>1</v>
          </cell>
          <cell r="AC588">
            <v>0.41935483870967744</v>
          </cell>
          <cell r="AH588">
            <v>9.6774193548387094E-2</v>
          </cell>
          <cell r="AK588">
            <v>0.74193548387096775</v>
          </cell>
          <cell r="AQ588">
            <v>0.46666666666666662</v>
          </cell>
          <cell r="AR588">
            <v>1</v>
          </cell>
          <cell r="AS588">
            <v>0.83333333333333337</v>
          </cell>
          <cell r="AT588">
            <v>0.67741935483870974</v>
          </cell>
          <cell r="AU588">
            <v>0.83870967741935487</v>
          </cell>
          <cell r="AX588">
            <v>0.1</v>
          </cell>
        </row>
        <row r="589">
          <cell r="C589" t="str">
            <v>TeamCoord / Haverhill / 20NewcombSt 4</v>
          </cell>
          <cell r="D589" t="str">
            <v>Lowell Area Office</v>
          </cell>
          <cell r="Y589">
            <v>0.25806451612903225</v>
          </cell>
          <cell r="AB589">
            <v>0.23333333333333334</v>
          </cell>
          <cell r="AC589">
            <v>1.096774193548387</v>
          </cell>
          <cell r="AD589">
            <v>0.90322580645161288</v>
          </cell>
          <cell r="AE589">
            <v>3.3333333333333333E-2</v>
          </cell>
          <cell r="AF589">
            <v>6.4516129032258063E-2</v>
          </cell>
          <cell r="AG589">
            <v>3.3333333333333333E-2</v>
          </cell>
          <cell r="AH589">
            <v>0.12903225806451613</v>
          </cell>
          <cell r="AI589">
            <v>0.32258064516129031</v>
          </cell>
          <cell r="AJ589">
            <v>0.4642857142857143</v>
          </cell>
          <cell r="AK589">
            <v>0.64516129032258063</v>
          </cell>
          <cell r="AL589">
            <v>1.6333333333333335</v>
          </cell>
          <cell r="AM589">
            <v>1.225806451612903</v>
          </cell>
          <cell r="AO589">
            <v>0.58064516129032262</v>
          </cell>
          <cell r="AP589">
            <v>1.7096774193548387</v>
          </cell>
          <cell r="AT589">
            <v>0.58064516129032251</v>
          </cell>
          <cell r="AU589">
            <v>1</v>
          </cell>
          <cell r="AV589">
            <v>1.7857142857142856</v>
          </cell>
          <cell r="AW589">
            <v>2</v>
          </cell>
          <cell r="AX589">
            <v>1.7333333333333334</v>
          </cell>
          <cell r="AY589">
            <v>1.7419354838709677</v>
          </cell>
          <cell r="AZ589">
            <v>1.4333333333333333</v>
          </cell>
        </row>
        <row r="590">
          <cell r="C590" t="str">
            <v>TeamCoord / Haverhill / 20NewcombSt 5</v>
          </cell>
          <cell r="D590" t="str">
            <v>Lynn Area Office</v>
          </cell>
          <cell r="N590">
            <v>6.6666666666666666E-2</v>
          </cell>
          <cell r="R590">
            <v>3.2258064516129031E-2</v>
          </cell>
          <cell r="T590">
            <v>0.16129032258064516</v>
          </cell>
          <cell r="U590">
            <v>0.13333333333333333</v>
          </cell>
          <cell r="W590">
            <v>3.2258064516129031E-2</v>
          </cell>
          <cell r="AA590">
            <v>9.6774193548387094E-2</v>
          </cell>
          <cell r="AM590">
            <v>0.16129032258064516</v>
          </cell>
          <cell r="AN590">
            <v>6.6666666666666666E-2</v>
          </cell>
          <cell r="AO590">
            <v>6.4516129032258063E-2</v>
          </cell>
          <cell r="AP590">
            <v>0.54838709677419351</v>
          </cell>
          <cell r="AQ590">
            <v>6.6666666666666666E-2</v>
          </cell>
          <cell r="AV590">
            <v>3.5714285714285712E-2</v>
          </cell>
          <cell r="AW590">
            <v>0.67741935483870963</v>
          </cell>
          <cell r="AY590">
            <v>3.2258064516129031E-2</v>
          </cell>
        </row>
        <row r="591">
          <cell r="C591" t="str">
            <v>TeamCoord / Haverhill / 20NewcombSt 6</v>
          </cell>
          <cell r="D591" t="str">
            <v>New Bedford Child and Family (Adop)</v>
          </cell>
          <cell r="AY591">
            <v>0.61290322580645162</v>
          </cell>
          <cell r="AZ591">
            <v>1</v>
          </cell>
        </row>
        <row r="592">
          <cell r="C592" t="str">
            <v>TeamCoord/Wilmington/82HighSt 1</v>
          </cell>
          <cell r="D592" t="str">
            <v>Cambridge Area Office</v>
          </cell>
          <cell r="G592">
            <v>0.2</v>
          </cell>
          <cell r="H592">
            <v>1</v>
          </cell>
          <cell r="I592">
            <v>1</v>
          </cell>
          <cell r="J592">
            <v>0.19354838709677419</v>
          </cell>
          <cell r="L592">
            <v>0.4642857142857143</v>
          </cell>
          <cell r="M592">
            <v>1</v>
          </cell>
          <cell r="N592">
            <v>1</v>
          </cell>
          <cell r="O592">
            <v>1</v>
          </cell>
          <cell r="P592">
            <v>0.93333333333333335</v>
          </cell>
          <cell r="Q592">
            <v>1</v>
          </cell>
          <cell r="R592">
            <v>0.93548387096774188</v>
          </cell>
          <cell r="T592">
            <v>0.4838709677419355</v>
          </cell>
          <cell r="U592">
            <v>1</v>
          </cell>
          <cell r="V592">
            <v>1</v>
          </cell>
          <cell r="W592">
            <v>1</v>
          </cell>
          <cell r="X592">
            <v>1</v>
          </cell>
          <cell r="Y592">
            <v>1.129032258064516</v>
          </cell>
          <cell r="Z592">
            <v>0.73333333333333328</v>
          </cell>
          <cell r="AA592">
            <v>0.70967741935483875</v>
          </cell>
          <cell r="AB592">
            <v>1</v>
          </cell>
          <cell r="AC592">
            <v>0.5161290322580645</v>
          </cell>
          <cell r="AD592">
            <v>0.74193548387096775</v>
          </cell>
          <cell r="AE592">
            <v>0.26666666666666666</v>
          </cell>
          <cell r="AF592">
            <v>0.38709677419354838</v>
          </cell>
          <cell r="AG592">
            <v>1</v>
          </cell>
          <cell r="AH592">
            <v>0.93548387096774188</v>
          </cell>
          <cell r="AI592">
            <v>0.64516129032258063</v>
          </cell>
          <cell r="AK592">
            <v>0.93548387096774188</v>
          </cell>
          <cell r="AM592">
            <v>1</v>
          </cell>
          <cell r="AN592">
            <v>1</v>
          </cell>
          <cell r="AO592">
            <v>1</v>
          </cell>
          <cell r="AP592">
            <v>0.19354838709677419</v>
          </cell>
          <cell r="AQ592">
            <v>1</v>
          </cell>
          <cell r="AR592">
            <v>1</v>
          </cell>
          <cell r="AS592">
            <v>0.53333333333333333</v>
          </cell>
          <cell r="AT592">
            <v>1</v>
          </cell>
          <cell r="AU592">
            <v>1</v>
          </cell>
          <cell r="AV592">
            <v>1</v>
          </cell>
          <cell r="AW592">
            <v>1</v>
          </cell>
          <cell r="AX592">
            <v>1</v>
          </cell>
          <cell r="AY592">
            <v>1</v>
          </cell>
          <cell r="AZ592">
            <v>0.4</v>
          </cell>
        </row>
        <row r="593">
          <cell r="C593" t="str">
            <v>TeamCoord/Wilmington/82HighSt 2</v>
          </cell>
          <cell r="D593" t="str">
            <v>Cape Ann Area Office</v>
          </cell>
          <cell r="AE593">
            <v>0.2</v>
          </cell>
          <cell r="AF593">
            <v>0.19354838709677419</v>
          </cell>
        </row>
        <row r="594">
          <cell r="C594" t="str">
            <v>TeamCoord/Wilmington/82HighSt 3</v>
          </cell>
          <cell r="D594" t="str">
            <v>Lynn Area Office</v>
          </cell>
          <cell r="AK594">
            <v>0.45161290322580644</v>
          </cell>
          <cell r="AP594">
            <v>0.12903225806451613</v>
          </cell>
        </row>
        <row r="595">
          <cell r="C595" t="str">
            <v>TeamCoord/Wilmington/82HighSt 4</v>
          </cell>
          <cell r="D595" t="str">
            <v>Malden Area Office</v>
          </cell>
          <cell r="G595">
            <v>1.6333333333333333</v>
          </cell>
          <cell r="H595">
            <v>3.741935483870968</v>
          </cell>
          <cell r="I595">
            <v>1.9333333333333336</v>
          </cell>
          <cell r="J595">
            <v>3.870967741935484</v>
          </cell>
          <cell r="K595">
            <v>3.5483870967741931</v>
          </cell>
          <cell r="L595">
            <v>3.1785714285714284</v>
          </cell>
          <cell r="M595">
            <v>2.4516129032258061</v>
          </cell>
          <cell r="N595">
            <v>3.8666666666666667</v>
          </cell>
          <cell r="O595">
            <v>3.6129032258064515</v>
          </cell>
          <cell r="P595">
            <v>4.0999999999999996</v>
          </cell>
          <cell r="Q595">
            <v>3.838709677419355</v>
          </cell>
          <cell r="R595">
            <v>3.870967741935484</v>
          </cell>
          <cell r="S595">
            <v>3.7</v>
          </cell>
          <cell r="T595">
            <v>3.3225806451612909</v>
          </cell>
          <cell r="U595">
            <v>2.1333333333333333</v>
          </cell>
          <cell r="V595">
            <v>3.096774193548387</v>
          </cell>
          <cell r="W595">
            <v>3.935483870967742</v>
          </cell>
          <cell r="X595">
            <v>3.7931034482758621</v>
          </cell>
          <cell r="Y595">
            <v>3.354838709677419</v>
          </cell>
          <cell r="Z595">
            <v>2.6</v>
          </cell>
          <cell r="AA595">
            <v>2.612903225806452</v>
          </cell>
          <cell r="AB595">
            <v>3.666666666666667</v>
          </cell>
          <cell r="AC595">
            <v>3.935483870967742</v>
          </cell>
          <cell r="AD595">
            <v>3.67741935483871</v>
          </cell>
          <cell r="AE595">
            <v>2.3666666666666663</v>
          </cell>
          <cell r="AF595">
            <v>3.5161290322580645</v>
          </cell>
          <cell r="AG595">
            <v>3.8666666666666663</v>
          </cell>
          <cell r="AH595">
            <v>3.419354838709677</v>
          </cell>
          <cell r="AI595">
            <v>2.3225806451612905</v>
          </cell>
          <cell r="AJ595">
            <v>3.9285714285714284</v>
          </cell>
          <cell r="AK595">
            <v>2.5483870967741935</v>
          </cell>
          <cell r="AL595">
            <v>3.9666666666666672</v>
          </cell>
          <cell r="AM595">
            <v>3.612903225806452</v>
          </cell>
          <cell r="AN595">
            <v>3.7333333333333334</v>
          </cell>
          <cell r="AO595">
            <v>3.387096774193548</v>
          </cell>
          <cell r="AP595">
            <v>3.967741935483871</v>
          </cell>
          <cell r="AQ595">
            <v>3.833333333333333</v>
          </cell>
          <cell r="AR595">
            <v>3.870967741935484</v>
          </cell>
          <cell r="AS595">
            <v>4.0333333333333332</v>
          </cell>
          <cell r="AT595">
            <v>3.838709677419355</v>
          </cell>
          <cell r="AU595">
            <v>3.4838709677419355</v>
          </cell>
          <cell r="AV595">
            <v>3.9642857142857144</v>
          </cell>
          <cell r="AW595">
            <v>3.709677419354839</v>
          </cell>
          <cell r="AX595">
            <v>3.833333333333333</v>
          </cell>
          <cell r="AY595">
            <v>3.8064516129032255</v>
          </cell>
          <cell r="AZ595">
            <v>3.9</v>
          </cell>
        </row>
        <row r="596">
          <cell r="C596" t="str">
            <v>TeamCoord/Wilmington/82HighSt 5</v>
          </cell>
          <cell r="D596" t="str">
            <v>Park St. Area Office</v>
          </cell>
          <cell r="AJ596">
            <v>0.6428571428571429</v>
          </cell>
          <cell r="AK596">
            <v>3.2258064516129031E-2</v>
          </cell>
        </row>
        <row r="597">
          <cell r="C597" t="str">
            <v>TheHome for LW/Walpole/399Lincoln 1</v>
          </cell>
          <cell r="D597" t="str">
            <v>Arlington Area Office</v>
          </cell>
          <cell r="F597">
            <v>1</v>
          </cell>
          <cell r="G597">
            <v>2.1666666666666665</v>
          </cell>
          <cell r="H597">
            <v>3.5806451612903225</v>
          </cell>
          <cell r="I597">
            <v>2.1</v>
          </cell>
          <cell r="J597">
            <v>2.064516129032258</v>
          </cell>
          <cell r="K597">
            <v>2.8064516129032255</v>
          </cell>
          <cell r="L597">
            <v>3.8214285714285712</v>
          </cell>
          <cell r="M597">
            <v>1</v>
          </cell>
          <cell r="N597">
            <v>3.7333333333333334</v>
          </cell>
          <cell r="O597">
            <v>3.903225806451613</v>
          </cell>
          <cell r="P597">
            <v>3.7666666666666666</v>
          </cell>
          <cell r="Q597">
            <v>1.9354838709677418</v>
          </cell>
          <cell r="R597">
            <v>3.161290322580645</v>
          </cell>
          <cell r="S597">
            <v>2.4666666666666668</v>
          </cell>
          <cell r="T597">
            <v>3.096774193548387</v>
          </cell>
          <cell r="U597">
            <v>3.4666666666666668</v>
          </cell>
          <cell r="V597">
            <v>2.838709677419355</v>
          </cell>
          <cell r="W597">
            <v>2.967741935483871</v>
          </cell>
          <cell r="X597">
            <v>3.9310344827586206</v>
          </cell>
          <cell r="Y597">
            <v>4.4516129032258061</v>
          </cell>
          <cell r="Z597">
            <v>3.8</v>
          </cell>
          <cell r="AA597">
            <v>3.5483870967741935</v>
          </cell>
          <cell r="AB597">
            <v>3.4</v>
          </cell>
          <cell r="AC597">
            <v>2.7419354838709675</v>
          </cell>
          <cell r="AD597">
            <v>3.3548387096774195</v>
          </cell>
          <cell r="AE597">
            <v>2.7333333333333334</v>
          </cell>
          <cell r="AF597">
            <v>3.387096774193548</v>
          </cell>
          <cell r="AG597">
            <v>3.4</v>
          </cell>
          <cell r="AH597">
            <v>1.903225806451613</v>
          </cell>
          <cell r="AI597">
            <v>1.8709677419354835</v>
          </cell>
          <cell r="AJ597">
            <v>2.5714285714285712</v>
          </cell>
          <cell r="AK597">
            <v>3.290322580645161</v>
          </cell>
          <cell r="AL597">
            <v>2.6</v>
          </cell>
          <cell r="AM597">
            <v>3.193548387096774</v>
          </cell>
          <cell r="AN597">
            <v>3</v>
          </cell>
          <cell r="AO597">
            <v>1.838709677419355</v>
          </cell>
          <cell r="AP597">
            <v>2.7096774193548385</v>
          </cell>
          <cell r="AQ597">
            <v>0.53333333333333333</v>
          </cell>
          <cell r="AR597">
            <v>1.3225806451612905</v>
          </cell>
          <cell r="AS597">
            <v>2.6666666666666665</v>
          </cell>
          <cell r="AT597">
            <v>3.5483870967741939</v>
          </cell>
          <cell r="AU597">
            <v>1.9354838709677418</v>
          </cell>
          <cell r="AV597">
            <v>3.6071428571428572</v>
          </cell>
          <cell r="AW597">
            <v>3.3225806451612905</v>
          </cell>
          <cell r="AX597">
            <v>3</v>
          </cell>
          <cell r="AY597">
            <v>1.3548387096774195</v>
          </cell>
          <cell r="AZ597">
            <v>2.6666666666666661</v>
          </cell>
        </row>
        <row r="598">
          <cell r="C598" t="str">
            <v>TheHome for LW/Walpole/399Lincoln 2</v>
          </cell>
          <cell r="D598" t="str">
            <v>Cambridge Area Office</v>
          </cell>
          <cell r="AU598">
            <v>1</v>
          </cell>
          <cell r="AV598">
            <v>0.14285714285714285</v>
          </cell>
        </row>
        <row r="599">
          <cell r="C599" t="str">
            <v>TheHome for LW/Walpole/399Lincoln 3</v>
          </cell>
          <cell r="D599" t="str">
            <v>Coastal Area Office</v>
          </cell>
          <cell r="H599">
            <v>0.80645161290322576</v>
          </cell>
          <cell r="I599">
            <v>1</v>
          </cell>
          <cell r="J599">
            <v>0.61290322580645162</v>
          </cell>
          <cell r="K599">
            <v>0.58064516129032262</v>
          </cell>
          <cell r="L599">
            <v>0.9642857142857143</v>
          </cell>
          <cell r="M599">
            <v>0.83870967741935487</v>
          </cell>
          <cell r="N599">
            <v>0.9</v>
          </cell>
          <cell r="O599">
            <v>1</v>
          </cell>
          <cell r="P599">
            <v>0.8666666666666667</v>
          </cell>
          <cell r="Q599">
            <v>0.25806451612903225</v>
          </cell>
          <cell r="R599">
            <v>0.77419354838709675</v>
          </cell>
          <cell r="S599">
            <v>0.8666666666666667</v>
          </cell>
          <cell r="T599">
            <v>0.54838709677419351</v>
          </cell>
          <cell r="U599">
            <v>1</v>
          </cell>
          <cell r="V599">
            <v>0.38709677419354838</v>
          </cell>
          <cell r="W599">
            <v>0.5161290322580645</v>
          </cell>
          <cell r="X599">
            <v>1</v>
          </cell>
          <cell r="Y599">
            <v>1</v>
          </cell>
          <cell r="Z599">
            <v>0.96666666666666667</v>
          </cell>
          <cell r="AA599">
            <v>1</v>
          </cell>
          <cell r="AB599">
            <v>0.46666666666666667</v>
          </cell>
          <cell r="AC599">
            <v>1</v>
          </cell>
          <cell r="AD599">
            <v>1</v>
          </cell>
          <cell r="AE599">
            <v>0.56666666666666665</v>
          </cell>
          <cell r="AF599">
            <v>0.19354838709677419</v>
          </cell>
          <cell r="AG599">
            <v>0.46666666666666667</v>
          </cell>
          <cell r="AH599">
            <v>0.967741935483871</v>
          </cell>
          <cell r="AI599">
            <v>1</v>
          </cell>
          <cell r="AJ599">
            <v>1</v>
          </cell>
          <cell r="AK599">
            <v>0.83870967741935476</v>
          </cell>
          <cell r="AL599">
            <v>1</v>
          </cell>
          <cell r="AM599">
            <v>0.83870967741935476</v>
          </cell>
          <cell r="AN599">
            <v>1.0666666666666667</v>
          </cell>
          <cell r="AO599">
            <v>0.25806451612903225</v>
          </cell>
          <cell r="AP599">
            <v>0.41935483870967744</v>
          </cell>
          <cell r="AQ599">
            <v>0.26666666666666666</v>
          </cell>
          <cell r="AR599">
            <v>0.83870967741935476</v>
          </cell>
          <cell r="AS599">
            <v>0.76666666666666672</v>
          </cell>
          <cell r="AT599">
            <v>0.32258064516129031</v>
          </cell>
          <cell r="AV599">
            <v>0.17857142857142858</v>
          </cell>
          <cell r="AW599">
            <v>0.80645161290322576</v>
          </cell>
          <cell r="AY599">
            <v>6.4516129032258063E-2</v>
          </cell>
          <cell r="AZ599">
            <v>0.5</v>
          </cell>
        </row>
        <row r="600">
          <cell r="C600" t="str">
            <v>TheHome for LW/Walpole/399Lincoln 4</v>
          </cell>
          <cell r="D600" t="str">
            <v>Dimock St. Area Office</v>
          </cell>
          <cell r="P600">
            <v>0.4</v>
          </cell>
          <cell r="Q600">
            <v>3.2258064516129031E-2</v>
          </cell>
          <cell r="R600">
            <v>0.93548387096774188</v>
          </cell>
          <cell r="S600">
            <v>0.53333333333333333</v>
          </cell>
          <cell r="T600">
            <v>0.12903225806451613</v>
          </cell>
          <cell r="W600">
            <v>0.54838709677419351</v>
          </cell>
          <cell r="X600">
            <v>1</v>
          </cell>
          <cell r="Y600">
            <v>1</v>
          </cell>
          <cell r="Z600">
            <v>0.66666666666666674</v>
          </cell>
          <cell r="AA600">
            <v>1</v>
          </cell>
          <cell r="AB600">
            <v>0.36666666666666664</v>
          </cell>
          <cell r="AC600">
            <v>6.4516129032258063E-2</v>
          </cell>
          <cell r="AE600">
            <v>3.3333333333333333E-2</v>
          </cell>
          <cell r="AG600">
            <v>0.33333333333333331</v>
          </cell>
          <cell r="AH600">
            <v>0.967741935483871</v>
          </cell>
          <cell r="AI600">
            <v>0.67741935483870963</v>
          </cell>
          <cell r="AN600">
            <v>0.3</v>
          </cell>
          <cell r="AO600">
            <v>1</v>
          </cell>
          <cell r="AP600">
            <v>0.16129032258064516</v>
          </cell>
          <cell r="AQ600">
            <v>0.1</v>
          </cell>
          <cell r="AR600">
            <v>1</v>
          </cell>
          <cell r="AS600">
            <v>0.46666666666666667</v>
          </cell>
          <cell r="AV600">
            <v>0.42857142857142855</v>
          </cell>
          <cell r="AW600">
            <v>1.903225806451613</v>
          </cell>
          <cell r="AX600">
            <v>0.3</v>
          </cell>
          <cell r="AZ600">
            <v>0.4</v>
          </cell>
        </row>
        <row r="601">
          <cell r="C601" t="str">
            <v>TheHome for LW/Walpole/399Lincoln 5</v>
          </cell>
          <cell r="D601" t="str">
            <v>Framingham Area Office</v>
          </cell>
          <cell r="F601">
            <v>0.67741935483870963</v>
          </cell>
          <cell r="G601">
            <v>0.56666666666666665</v>
          </cell>
          <cell r="H601">
            <v>0.74193548387096775</v>
          </cell>
          <cell r="I601">
            <v>1</v>
          </cell>
          <cell r="J601">
            <v>1</v>
          </cell>
          <cell r="K601">
            <v>0.54838709677419351</v>
          </cell>
          <cell r="M601">
            <v>0.77419354838709675</v>
          </cell>
          <cell r="N601">
            <v>1</v>
          </cell>
          <cell r="O601">
            <v>0.67741935483870963</v>
          </cell>
          <cell r="P601">
            <v>1</v>
          </cell>
          <cell r="Q601">
            <v>0.4838709677419355</v>
          </cell>
          <cell r="R601">
            <v>0.32258064516129031</v>
          </cell>
          <cell r="S601">
            <v>1</v>
          </cell>
          <cell r="T601">
            <v>0.77419354838709675</v>
          </cell>
          <cell r="U601">
            <v>0.5</v>
          </cell>
          <cell r="V601">
            <v>0.58064516129032262</v>
          </cell>
          <cell r="W601">
            <v>1</v>
          </cell>
          <cell r="X601">
            <v>1</v>
          </cell>
          <cell r="Y601">
            <v>0.19354838709677419</v>
          </cell>
          <cell r="Z601">
            <v>0.66666666666666663</v>
          </cell>
          <cell r="AA601">
            <v>0.12903225806451613</v>
          </cell>
          <cell r="AB601">
            <v>0.8666666666666667</v>
          </cell>
          <cell r="AC601">
            <v>1</v>
          </cell>
          <cell r="AD601">
            <v>0.96774193548387089</v>
          </cell>
          <cell r="AE601">
            <v>1.5333333333333332</v>
          </cell>
          <cell r="AF601">
            <v>0.29032258064516125</v>
          </cell>
          <cell r="AG601">
            <v>1.0333333333333332</v>
          </cell>
          <cell r="AH601">
            <v>1.4516129032258065</v>
          </cell>
          <cell r="AI601">
            <v>1.1935483870967742</v>
          </cell>
          <cell r="AJ601">
            <v>1.8214285714285714</v>
          </cell>
          <cell r="AK601">
            <v>1.6774193548387095</v>
          </cell>
          <cell r="AL601">
            <v>1.1000000000000001</v>
          </cell>
          <cell r="AM601">
            <v>1.3870967741935485</v>
          </cell>
          <cell r="AN601">
            <v>1</v>
          </cell>
          <cell r="AO601">
            <v>1.7741935483870968</v>
          </cell>
          <cell r="AP601">
            <v>1</v>
          </cell>
          <cell r="AQ601">
            <v>1</v>
          </cell>
          <cell r="AR601">
            <v>2.3870967741935485</v>
          </cell>
          <cell r="AS601">
            <v>1.6</v>
          </cell>
          <cell r="AT601">
            <v>0.67741935483870963</v>
          </cell>
          <cell r="AU601">
            <v>1.3225806451612903</v>
          </cell>
          <cell r="AV601">
            <v>0.96428571428571419</v>
          </cell>
          <cell r="AW601">
            <v>1</v>
          </cell>
          <cell r="AX601">
            <v>1.3</v>
          </cell>
          <cell r="AY601">
            <v>1.129032258064516</v>
          </cell>
          <cell r="AZ601">
            <v>0.66666666666666663</v>
          </cell>
        </row>
        <row r="602">
          <cell r="C602" t="str">
            <v>TheHome for LW/Walpole/399Lincoln 6</v>
          </cell>
          <cell r="D602" t="str">
            <v>Harbor Area Office</v>
          </cell>
          <cell r="X602">
            <v>3.4482758620689655E-2</v>
          </cell>
          <cell r="AA602">
            <v>0.38709677419354838</v>
          </cell>
          <cell r="AB602">
            <v>1</v>
          </cell>
          <cell r="AC602">
            <v>0.38709677419354838</v>
          </cell>
          <cell r="AD602">
            <v>1</v>
          </cell>
          <cell r="AE602">
            <v>1</v>
          </cell>
          <cell r="AF602">
            <v>1</v>
          </cell>
          <cell r="AG602">
            <v>1</v>
          </cell>
          <cell r="AH602">
            <v>1</v>
          </cell>
          <cell r="AI602">
            <v>1</v>
          </cell>
          <cell r="AJ602">
            <v>0.2857142857142857</v>
          </cell>
          <cell r="AM602">
            <v>0.32258064516129031</v>
          </cell>
          <cell r="AN602">
            <v>1</v>
          </cell>
          <cell r="AO602">
            <v>0.16129032258064516</v>
          </cell>
          <cell r="AP602">
            <v>0.45161290322580644</v>
          </cell>
          <cell r="AQ602">
            <v>1</v>
          </cell>
        </row>
        <row r="603">
          <cell r="C603" t="str">
            <v>TheHome for LW/Walpole/399Lincoln 7</v>
          </cell>
          <cell r="D603" t="str">
            <v>Hyde Park Area Office</v>
          </cell>
          <cell r="V603">
            <v>0.77419354838709675</v>
          </cell>
          <cell r="W603">
            <v>0.967741935483871</v>
          </cell>
          <cell r="Z603">
            <v>6.6666666666666666E-2</v>
          </cell>
          <cell r="AD603">
            <v>0.22580645161290322</v>
          </cell>
          <cell r="AE603">
            <v>1</v>
          </cell>
          <cell r="AF603">
            <v>0.19354838709677419</v>
          </cell>
          <cell r="AI603">
            <v>0.5161290322580645</v>
          </cell>
          <cell r="AJ603">
            <v>1.75</v>
          </cell>
          <cell r="AK603">
            <v>1.3548387096774195</v>
          </cell>
          <cell r="AL603">
            <v>1.1333333333333333</v>
          </cell>
          <cell r="AM603">
            <v>1.838709677419355</v>
          </cell>
          <cell r="AN603">
            <v>0.5</v>
          </cell>
          <cell r="AQ603">
            <v>0.3</v>
          </cell>
          <cell r="AR603">
            <v>1</v>
          </cell>
          <cell r="AS603">
            <v>0.96666666666666656</v>
          </cell>
          <cell r="AT603">
            <v>1.5161290322580645</v>
          </cell>
          <cell r="AU603">
            <v>1.870967741935484</v>
          </cell>
          <cell r="AV603">
            <v>0.96428571428571419</v>
          </cell>
          <cell r="AY603">
            <v>0.25806451612903225</v>
          </cell>
          <cell r="AZ603">
            <v>1</v>
          </cell>
        </row>
        <row r="604">
          <cell r="C604" t="str">
            <v>TheHome for LW/Walpole/399Lincoln 8</v>
          </cell>
          <cell r="D604" t="str">
            <v>Lynn Area Office</v>
          </cell>
          <cell r="AP604">
            <v>3.2258064516129031E-2</v>
          </cell>
          <cell r="AQ604">
            <v>0.26666666666666666</v>
          </cell>
        </row>
        <row r="605">
          <cell r="C605" t="str">
            <v>TheHome for LW/Walpole/399Lincoln 9</v>
          </cell>
          <cell r="D605" t="str">
            <v>Malden Area Office</v>
          </cell>
          <cell r="Q605">
            <v>9.6774193548387094E-2</v>
          </cell>
        </row>
        <row r="606">
          <cell r="C606" t="str">
            <v>TheHome for LW/Walpole/399Lincoln 10</v>
          </cell>
          <cell r="D606" t="str">
            <v>Park St. Area Office</v>
          </cell>
          <cell r="S606">
            <v>0.43333333333333335</v>
          </cell>
          <cell r="T606">
            <v>0.5161290322580645</v>
          </cell>
          <cell r="U606">
            <v>2</v>
          </cell>
          <cell r="V606">
            <v>0.93548387096774188</v>
          </cell>
          <cell r="X606">
            <v>0.55172413793103448</v>
          </cell>
          <cell r="Z606">
            <v>1.1000000000000001</v>
          </cell>
          <cell r="AA606">
            <v>0.64516129032258063</v>
          </cell>
          <cell r="AB606">
            <v>1.0333333333333334</v>
          </cell>
          <cell r="AC606">
            <v>1.129032258064516</v>
          </cell>
          <cell r="AD606">
            <v>0.77419354838709675</v>
          </cell>
          <cell r="AF606">
            <v>0.77419354838709675</v>
          </cell>
          <cell r="AG606">
            <v>0.76666666666666672</v>
          </cell>
          <cell r="AK606">
            <v>0.64516129032258063</v>
          </cell>
          <cell r="AL606">
            <v>0.8666666666666667</v>
          </cell>
          <cell r="AN606">
            <v>3.3333333333333333E-2</v>
          </cell>
          <cell r="AO606">
            <v>1.5483870967741935</v>
          </cell>
          <cell r="AP606">
            <v>1.032258064516129</v>
          </cell>
          <cell r="AQ606">
            <v>0.8</v>
          </cell>
          <cell r="AX606">
            <v>1.3</v>
          </cell>
          <cell r="AY606">
            <v>1.967741935483871</v>
          </cell>
          <cell r="AZ606">
            <v>1</v>
          </cell>
        </row>
        <row r="607">
          <cell r="C607" t="str">
            <v>TheHome for LW/Walpole/399Lincoln 11</v>
          </cell>
          <cell r="D607" t="str">
            <v>Worcester East Area Office</v>
          </cell>
          <cell r="AF607">
            <v>0.54838709677419351</v>
          </cell>
          <cell r="AL607">
            <v>0.5</v>
          </cell>
          <cell r="AP607">
            <v>0.35483870967741937</v>
          </cell>
          <cell r="AQ607">
            <v>6.6666666666666666E-2</v>
          </cell>
          <cell r="AV607">
            <v>0.5</v>
          </cell>
          <cell r="AX607">
            <v>1</v>
          </cell>
          <cell r="AY607">
            <v>0.58064516129032262</v>
          </cell>
        </row>
        <row r="608">
          <cell r="C608" t="str">
            <v>Wayside/Framingham/1FredrickAbbotWy 1</v>
          </cell>
          <cell r="D608" t="str">
            <v>Arlington Area Office</v>
          </cell>
          <cell r="AL608">
            <v>0.2</v>
          </cell>
          <cell r="AM608">
            <v>1.903225806451613</v>
          </cell>
          <cell r="AN608">
            <v>2.3666666666666667</v>
          </cell>
          <cell r="AO608">
            <v>2.129032258064516</v>
          </cell>
          <cell r="AP608">
            <v>1.5483870967741935</v>
          </cell>
          <cell r="AQ608">
            <v>0.7</v>
          </cell>
          <cell r="AR608">
            <v>1.935483870967742</v>
          </cell>
          <cell r="AS608">
            <v>2.4666666666666668</v>
          </cell>
          <cell r="AT608">
            <v>1.7096774193548387</v>
          </cell>
          <cell r="AU608">
            <v>1.2258064516129035</v>
          </cell>
          <cell r="AV608">
            <v>1.8571428571428572</v>
          </cell>
          <cell r="AW608">
            <v>1.8387096774193548</v>
          </cell>
          <cell r="AX608">
            <v>2.5333333333333332</v>
          </cell>
          <cell r="AY608">
            <v>2.580645161290323</v>
          </cell>
          <cell r="AZ608">
            <v>1.9333333333333331</v>
          </cell>
        </row>
        <row r="609">
          <cell r="C609" t="str">
            <v>Wayside/Framingham/1FredrickAbbotWy 2</v>
          </cell>
          <cell r="D609" t="str">
            <v>Cambridge Area Office</v>
          </cell>
          <cell r="AM609">
            <v>0.96774193548387089</v>
          </cell>
          <cell r="AN609">
            <v>2.4666666666666668</v>
          </cell>
          <cell r="AO609">
            <v>2.774193548387097</v>
          </cell>
          <cell r="AP609">
            <v>2.5483870967741935</v>
          </cell>
          <cell r="AQ609">
            <v>2.4666666666666668</v>
          </cell>
          <cell r="AR609">
            <v>1.7419354838709675</v>
          </cell>
          <cell r="AS609">
            <v>2.6333333333333333</v>
          </cell>
          <cell r="AT609">
            <v>2.5806451612903225</v>
          </cell>
          <cell r="AU609">
            <v>2.6774193548387095</v>
          </cell>
          <cell r="AV609">
            <v>2.75</v>
          </cell>
          <cell r="AW609">
            <v>2.3870967741935485</v>
          </cell>
          <cell r="AX609">
            <v>3.1333333333333333</v>
          </cell>
          <cell r="AY609">
            <v>2.5483870967741935</v>
          </cell>
          <cell r="AZ609">
            <v>2.5666666666666664</v>
          </cell>
        </row>
        <row r="610">
          <cell r="C610" t="str">
            <v>Wayside/Framingham/1FredrickAbbotWy 3</v>
          </cell>
          <cell r="D610" t="str">
            <v>Coastal Area Office</v>
          </cell>
          <cell r="AM610">
            <v>9.6774193548387094E-2</v>
          </cell>
          <cell r="AO610">
            <v>0.83870967741935487</v>
          </cell>
        </row>
        <row r="611">
          <cell r="C611" t="str">
            <v>Wayside/Framingham/1FredrickAbbotWy 4</v>
          </cell>
          <cell r="D611" t="str">
            <v>Dimock St. Area Office</v>
          </cell>
          <cell r="AN611">
            <v>0.3</v>
          </cell>
          <cell r="AQ611">
            <v>3.3333333333333333E-2</v>
          </cell>
          <cell r="AR611">
            <v>1</v>
          </cell>
          <cell r="AS611">
            <v>0.43333333333333335</v>
          </cell>
          <cell r="AT611">
            <v>0.29032258064516131</v>
          </cell>
          <cell r="AU611">
            <v>1</v>
          </cell>
          <cell r="AV611">
            <v>0.46428571428571425</v>
          </cell>
          <cell r="AW611">
            <v>1.3870967741935485</v>
          </cell>
          <cell r="AX611">
            <v>0.6333333333333333</v>
          </cell>
          <cell r="AY611">
            <v>1.129032258064516</v>
          </cell>
          <cell r="AZ611">
            <v>0.1</v>
          </cell>
        </row>
        <row r="612">
          <cell r="C612" t="str">
            <v>Wayside/Framingham/1FredrickAbbotWy 5</v>
          </cell>
          <cell r="D612" t="str">
            <v>Framingham Area Office</v>
          </cell>
          <cell r="AL612">
            <v>0.66666666666666663</v>
          </cell>
          <cell r="AM612">
            <v>8.258064516129032</v>
          </cell>
          <cell r="AN612">
            <v>6.7</v>
          </cell>
          <cell r="AO612">
            <v>6.741935483870968</v>
          </cell>
          <cell r="AP612">
            <v>7.032258064516129</v>
          </cell>
          <cell r="AQ612">
            <v>8.1333333333333329</v>
          </cell>
          <cell r="AR612">
            <v>7.3548387096774199</v>
          </cell>
          <cell r="AS612">
            <v>6.6</v>
          </cell>
          <cell r="AT612">
            <v>6.967741935483871</v>
          </cell>
          <cell r="AU612">
            <v>6.419354838709677</v>
          </cell>
          <cell r="AV612">
            <v>6.7857142857142865</v>
          </cell>
          <cell r="AW612">
            <v>7.225806451612903</v>
          </cell>
          <cell r="AX612">
            <v>6.4666666666666677</v>
          </cell>
          <cell r="AY612">
            <v>7.4838709677419351</v>
          </cell>
          <cell r="AZ612">
            <v>7.6333333333333346</v>
          </cell>
        </row>
        <row r="613">
          <cell r="C613" t="str">
            <v>Wayside/Framingham/1FredrickAbbotWy 6</v>
          </cell>
          <cell r="D613" t="str">
            <v>Harbor Area Office</v>
          </cell>
          <cell r="AO613">
            <v>0.5161290322580645</v>
          </cell>
          <cell r="AP613">
            <v>2.67741935483871</v>
          </cell>
          <cell r="AQ613">
            <v>2.3333333333333335</v>
          </cell>
          <cell r="AR613">
            <v>2</v>
          </cell>
          <cell r="AS613">
            <v>1.4</v>
          </cell>
          <cell r="AT613">
            <v>0.4838709677419355</v>
          </cell>
          <cell r="AV613">
            <v>0.75</v>
          </cell>
          <cell r="AW613">
            <v>1.5161290322580645</v>
          </cell>
          <cell r="AX613">
            <v>1.2333333333333334</v>
          </cell>
          <cell r="AY613">
            <v>1</v>
          </cell>
          <cell r="AZ613">
            <v>0.26666666666666666</v>
          </cell>
        </row>
        <row r="614">
          <cell r="C614" t="str">
            <v>Wayside/Framingham/1FredrickAbbotWy 7</v>
          </cell>
          <cell r="D614" t="str">
            <v>Hyde Park Area Office</v>
          </cell>
          <cell r="AL614">
            <v>0.2</v>
          </cell>
          <cell r="AM614">
            <v>1.9032258064516128</v>
          </cell>
          <cell r="AN614">
            <v>1.3333333333333335</v>
          </cell>
          <cell r="AO614">
            <v>0.83870967741935487</v>
          </cell>
          <cell r="AR614">
            <v>0.58064516129032262</v>
          </cell>
          <cell r="AS614">
            <v>1</v>
          </cell>
          <cell r="AT614">
            <v>1.129032258064516</v>
          </cell>
          <cell r="AU614">
            <v>1</v>
          </cell>
          <cell r="AV614">
            <v>0.2857142857142857</v>
          </cell>
          <cell r="AZ614">
            <v>0.26666666666666666</v>
          </cell>
        </row>
        <row r="615">
          <cell r="C615" t="str">
            <v>Wayside/Framingham/1FredrickAbbotWy 8</v>
          </cell>
          <cell r="D615" t="str">
            <v>Lynn Area Office</v>
          </cell>
          <cell r="AN615">
            <v>3.3333333333333333E-2</v>
          </cell>
        </row>
        <row r="616">
          <cell r="C616" t="str">
            <v>Wayside/Framingham/1FredrickAbbotWy 9</v>
          </cell>
          <cell r="D616" t="str">
            <v>Malden Area Office</v>
          </cell>
          <cell r="AL616">
            <v>0.16666666666666669</v>
          </cell>
          <cell r="AM616">
            <v>5.290322580645161</v>
          </cell>
          <cell r="AN616">
            <v>4.8</v>
          </cell>
          <cell r="AO616">
            <v>5.774193548387097</v>
          </cell>
          <cell r="AP616">
            <v>5.290322580645161</v>
          </cell>
          <cell r="AQ616">
            <v>4.4000000000000004</v>
          </cell>
          <cell r="AR616">
            <v>3.9677419354838714</v>
          </cell>
          <cell r="AS616">
            <v>4.5999999999999996</v>
          </cell>
          <cell r="AT616">
            <v>4.290322580645161</v>
          </cell>
          <cell r="AU616">
            <v>3.3870967741935485</v>
          </cell>
          <cell r="AV616">
            <v>4.5</v>
          </cell>
          <cell r="AW616">
            <v>5.290322580645161</v>
          </cell>
          <cell r="AX616">
            <v>5.8666666666666645</v>
          </cell>
          <cell r="AY616">
            <v>5.129032258064516</v>
          </cell>
          <cell r="AZ616">
            <v>7.2</v>
          </cell>
        </row>
        <row r="617">
          <cell r="C617" t="str">
            <v>Wayside/Framingham/1FredrickAbbotWy 10</v>
          </cell>
          <cell r="D617" t="str">
            <v>North Central Area Office</v>
          </cell>
          <cell r="AP617">
            <v>3.2258064516129031E-2</v>
          </cell>
        </row>
        <row r="618">
          <cell r="C618" t="str">
            <v>Wayside/Framingham/1FredrickAbbotWy 11</v>
          </cell>
          <cell r="D618" t="str">
            <v>Park St. Area Office</v>
          </cell>
          <cell r="AL618">
            <v>0.26666666666666666</v>
          </cell>
          <cell r="AM618">
            <v>1.6451612903225805</v>
          </cell>
          <cell r="AN618">
            <v>6.6666666666666666E-2</v>
          </cell>
          <cell r="AO618">
            <v>0.83870967741935476</v>
          </cell>
          <cell r="AP618">
            <v>1.032258064516129</v>
          </cell>
          <cell r="AQ618">
            <v>1.5666666666666667</v>
          </cell>
          <cell r="AR618">
            <v>0.22580645161290322</v>
          </cell>
          <cell r="AS618">
            <v>0.4</v>
          </cell>
          <cell r="AT618">
            <v>1.967741935483871</v>
          </cell>
          <cell r="AU618">
            <v>1.7096774193548387</v>
          </cell>
          <cell r="AV618">
            <v>1.7857142857142856</v>
          </cell>
          <cell r="AW618">
            <v>0.35483870967741937</v>
          </cell>
          <cell r="AZ618">
            <v>0.53333333333333333</v>
          </cell>
        </row>
        <row r="619">
          <cell r="C619" t="str">
            <v>Wayside/Framingham/85Edgell Rd 1</v>
          </cell>
          <cell r="D619" t="str">
            <v>Cambridge Area Office</v>
          </cell>
          <cell r="O619">
            <v>9.6774193548387094E-2</v>
          </cell>
          <cell r="P619">
            <v>0.13333333333333333</v>
          </cell>
          <cell r="Q619">
            <v>6.4516129032258063E-2</v>
          </cell>
          <cell r="AC619">
            <v>3.2258064516129031E-2</v>
          </cell>
          <cell r="AF619">
            <v>0.22580645161290322</v>
          </cell>
        </row>
        <row r="620">
          <cell r="C620" t="str">
            <v>Wayside/Framingham/85Edgell Rd 2</v>
          </cell>
          <cell r="D620" t="str">
            <v>Coastal Area Office</v>
          </cell>
          <cell r="U620">
            <v>0.1</v>
          </cell>
          <cell r="AF620">
            <v>6.4516129032258063E-2</v>
          </cell>
        </row>
        <row r="621">
          <cell r="C621" t="str">
            <v>Wayside/Framingham/85Edgell Rd 3</v>
          </cell>
          <cell r="D621" t="str">
            <v>Framingham Area Office</v>
          </cell>
          <cell r="H621">
            <v>2.258064516129032</v>
          </cell>
          <cell r="I621">
            <v>3.3333333333333335</v>
          </cell>
          <cell r="J621">
            <v>3.6774193548387095</v>
          </cell>
          <cell r="K621">
            <v>3.7741935483870965</v>
          </cell>
          <cell r="L621">
            <v>2.25</v>
          </cell>
          <cell r="M621">
            <v>3.774193548387097</v>
          </cell>
          <cell r="N621">
            <v>3.8333333333333335</v>
          </cell>
          <cell r="O621">
            <v>3.4193548387096775</v>
          </cell>
          <cell r="P621">
            <v>3.4</v>
          </cell>
          <cell r="Q621">
            <v>3.774193548387097</v>
          </cell>
          <cell r="R621">
            <v>4.0322580645161299</v>
          </cell>
          <cell r="S621">
            <v>3.9666666666666668</v>
          </cell>
          <cell r="T621">
            <v>3.838709677419355</v>
          </cell>
          <cell r="U621">
            <v>3.6</v>
          </cell>
          <cell r="V621">
            <v>3</v>
          </cell>
          <cell r="W621">
            <v>3.4516129032258065</v>
          </cell>
          <cell r="X621">
            <v>3.9655172413793105</v>
          </cell>
          <cell r="Y621">
            <v>4</v>
          </cell>
          <cell r="Z621">
            <v>4</v>
          </cell>
          <cell r="AA621">
            <v>3.5161290322580645</v>
          </cell>
          <cell r="AB621">
            <v>3.7333333333333334</v>
          </cell>
          <cell r="AC621">
            <v>4</v>
          </cell>
          <cell r="AD621">
            <v>3.8387096774193541</v>
          </cell>
          <cell r="AE621">
            <v>4</v>
          </cell>
          <cell r="AF621">
            <v>2.419354838709677</v>
          </cell>
          <cell r="AG621">
            <v>3.5666666666666664</v>
          </cell>
          <cell r="AH621">
            <v>3.4516129032258065</v>
          </cell>
          <cell r="AI621">
            <v>2.967741935483871</v>
          </cell>
          <cell r="AJ621">
            <v>3.8928571428571428</v>
          </cell>
          <cell r="AK621">
            <v>3.935483870967742</v>
          </cell>
          <cell r="AL621">
            <v>3.6</v>
          </cell>
        </row>
        <row r="622">
          <cell r="C622" t="str">
            <v>Wayside/Framingham/85Edgell Rd 4</v>
          </cell>
          <cell r="D622" t="str">
            <v>Lynn Area Office</v>
          </cell>
          <cell r="V622">
            <v>0.83870967741935487</v>
          </cell>
          <cell r="W622">
            <v>0.5161290322580645</v>
          </cell>
        </row>
        <row r="623">
          <cell r="C623" t="str">
            <v>Wayside/Framingham/85Edgell Rd 5</v>
          </cell>
          <cell r="D623" t="str">
            <v>Malden Area Office</v>
          </cell>
          <cell r="AB623">
            <v>0.93333333333333335</v>
          </cell>
          <cell r="AC623">
            <v>0.25806451612903225</v>
          </cell>
        </row>
        <row r="624">
          <cell r="C624" t="str">
            <v>Wayside/Framingham/85Edgell Rd 6</v>
          </cell>
          <cell r="D624" t="str">
            <v>Park St. Area Office</v>
          </cell>
          <cell r="T624">
            <v>9.6774193548387094E-2</v>
          </cell>
        </row>
        <row r="625">
          <cell r="C625" t="str">
            <v>Wayside/Framingham/98DennisonAve 1</v>
          </cell>
          <cell r="D625" t="str">
            <v>Arlington Area Office</v>
          </cell>
          <cell r="L625">
            <v>0.17857142857142858</v>
          </cell>
          <cell r="P625">
            <v>6.6666666666666666E-2</v>
          </cell>
          <cell r="Q625">
            <v>0.19354838709677419</v>
          </cell>
          <cell r="X625">
            <v>3.4482758620689655E-2</v>
          </cell>
          <cell r="Y625">
            <v>9.6774193548387094E-2</v>
          </cell>
          <cell r="AE625">
            <v>0.26666666666666666</v>
          </cell>
          <cell r="AJ625">
            <v>0.6428571428571429</v>
          </cell>
          <cell r="AK625">
            <v>0.25806451612903225</v>
          </cell>
        </row>
        <row r="626">
          <cell r="C626" t="str">
            <v>Wayside/Framingham/98DennisonAve 2</v>
          </cell>
          <cell r="D626" t="str">
            <v>Cambridge Area Office</v>
          </cell>
          <cell r="H626">
            <v>1.967741935483871</v>
          </cell>
          <cell r="I626">
            <v>1.7666666666666666</v>
          </cell>
          <cell r="J626">
            <v>1</v>
          </cell>
          <cell r="K626">
            <v>0.90322580645161288</v>
          </cell>
          <cell r="L626">
            <v>2.1785714285714284</v>
          </cell>
          <cell r="M626">
            <v>3.419354838709677</v>
          </cell>
          <cell r="N626">
            <v>2.9666666666666668</v>
          </cell>
          <cell r="O626">
            <v>2.838709677419355</v>
          </cell>
          <cell r="P626">
            <v>2.9</v>
          </cell>
          <cell r="Q626">
            <v>3</v>
          </cell>
          <cell r="R626">
            <v>2</v>
          </cell>
          <cell r="S626">
            <v>0.33333333333333331</v>
          </cell>
          <cell r="T626">
            <v>0.58064516129032262</v>
          </cell>
          <cell r="U626">
            <v>2.5666666666666669</v>
          </cell>
          <cell r="V626">
            <v>2.096774193548387</v>
          </cell>
          <cell r="W626">
            <v>2.5161290322580645</v>
          </cell>
          <cell r="X626">
            <v>2.6551724137931032</v>
          </cell>
          <cell r="Y626">
            <v>2.645161290322581</v>
          </cell>
          <cell r="Z626">
            <v>2.8</v>
          </cell>
          <cell r="AA626">
            <v>1.3548387096774195</v>
          </cell>
          <cell r="AB626">
            <v>2.0666666666666664</v>
          </cell>
          <cell r="AC626">
            <v>2.903225806451613</v>
          </cell>
          <cell r="AD626">
            <v>2.5483870967741935</v>
          </cell>
          <cell r="AE626">
            <v>1.8</v>
          </cell>
          <cell r="AF626">
            <v>0.74193548387096775</v>
          </cell>
          <cell r="AG626">
            <v>1.3666666666666667</v>
          </cell>
          <cell r="AH626">
            <v>2</v>
          </cell>
          <cell r="AI626">
            <v>1.935483870967742</v>
          </cell>
          <cell r="AJ626">
            <v>2.6428571428571428</v>
          </cell>
          <cell r="AK626">
            <v>2.2903225806451615</v>
          </cell>
          <cell r="AL626">
            <v>1.1000000000000001</v>
          </cell>
        </row>
        <row r="627">
          <cell r="C627" t="str">
            <v>Wayside/Framingham/98DennisonAve 3</v>
          </cell>
          <cell r="D627" t="str">
            <v>Dimock St. Area Office</v>
          </cell>
          <cell r="AG627">
            <v>0.8</v>
          </cell>
          <cell r="AH627">
            <v>0.45161290322580644</v>
          </cell>
        </row>
        <row r="628">
          <cell r="C628" t="str">
            <v>Wayside/Framingham/98DennisonAve 4</v>
          </cell>
          <cell r="D628" t="str">
            <v>Framingham Area Office</v>
          </cell>
          <cell r="H628">
            <v>3.8064516129032255</v>
          </cell>
          <cell r="I628">
            <v>3.5</v>
          </cell>
          <cell r="J628">
            <v>2.9354838709677415</v>
          </cell>
          <cell r="K628">
            <v>2.064516129032258</v>
          </cell>
          <cell r="L628">
            <v>2.6785714285714284</v>
          </cell>
          <cell r="M628">
            <v>2.838709677419355</v>
          </cell>
          <cell r="N628">
            <v>2.9333333333333336</v>
          </cell>
          <cell r="O628">
            <v>2.387096774193548</v>
          </cell>
          <cell r="P628">
            <v>2.4666666666666668</v>
          </cell>
          <cell r="Q628">
            <v>1.6774193548387095</v>
          </cell>
          <cell r="R628">
            <v>2.709677419354839</v>
          </cell>
          <cell r="S628">
            <v>2.2333333333333334</v>
          </cell>
          <cell r="T628">
            <v>3.870967741935484</v>
          </cell>
          <cell r="U628">
            <v>2.7333333333333334</v>
          </cell>
          <cell r="V628">
            <v>2.838709677419355</v>
          </cell>
          <cell r="W628">
            <v>2.806451612903226</v>
          </cell>
          <cell r="X628">
            <v>2.7931034482758621</v>
          </cell>
          <cell r="Y628">
            <v>2.3548387096774195</v>
          </cell>
          <cell r="Z628">
            <v>3</v>
          </cell>
          <cell r="AA628">
            <v>2.32258064516129</v>
          </cell>
          <cell r="AB628">
            <v>2.9666666666666668</v>
          </cell>
          <cell r="AC628">
            <v>3</v>
          </cell>
          <cell r="AD628">
            <v>2.870967741935484</v>
          </cell>
          <cell r="AE628">
            <v>2.7666666666666666</v>
          </cell>
          <cell r="AF628">
            <v>2.387096774193548</v>
          </cell>
          <cell r="AG628">
            <v>3.3666666666666667</v>
          </cell>
          <cell r="AH628">
            <v>3</v>
          </cell>
          <cell r="AI628">
            <v>3.129032258064516</v>
          </cell>
          <cell r="AJ628">
            <v>2.3214285714285716</v>
          </cell>
          <cell r="AK628">
            <v>2.6451612903225805</v>
          </cell>
          <cell r="AL628">
            <v>3.9333333333333336</v>
          </cell>
        </row>
        <row r="629">
          <cell r="C629" t="str">
            <v>Wayside/Framingham/98DennisonAve 5</v>
          </cell>
          <cell r="D629" t="str">
            <v>Harbor Area Office</v>
          </cell>
          <cell r="AE629">
            <v>0.2</v>
          </cell>
        </row>
        <row r="630">
          <cell r="C630" t="str">
            <v>Wayside/Framingham/98DennisonAve 6</v>
          </cell>
          <cell r="D630" t="str">
            <v>Holyoke Area Office</v>
          </cell>
          <cell r="AF630">
            <v>0.93548387096774188</v>
          </cell>
        </row>
        <row r="631">
          <cell r="C631" t="str">
            <v>Wayside/Framingham/98DennisonAve 7</v>
          </cell>
          <cell r="D631" t="str">
            <v>Lynn Area Office</v>
          </cell>
          <cell r="AB631">
            <v>0.4</v>
          </cell>
          <cell r="AC631">
            <v>1</v>
          </cell>
          <cell r="AD631">
            <v>1</v>
          </cell>
          <cell r="AE631">
            <v>0.13333333333333333</v>
          </cell>
        </row>
        <row r="632">
          <cell r="C632" t="str">
            <v>Wayside/Framingham/98DennisonAve 8</v>
          </cell>
          <cell r="D632" t="str">
            <v>Malden Area Office</v>
          </cell>
          <cell r="H632">
            <v>2.838709677419355</v>
          </cell>
          <cell r="I632">
            <v>1.6666666666666665</v>
          </cell>
          <cell r="J632">
            <v>1.6774193548387097</v>
          </cell>
          <cell r="K632">
            <v>2.6774193548387095</v>
          </cell>
          <cell r="L632">
            <v>2.9642857142857144</v>
          </cell>
          <cell r="M632">
            <v>2.3548387096774195</v>
          </cell>
          <cell r="N632">
            <v>1.5333333333333332</v>
          </cell>
          <cell r="O632">
            <v>2.870967741935484</v>
          </cell>
          <cell r="P632">
            <v>2.9</v>
          </cell>
          <cell r="Q632">
            <v>2.5483870967741935</v>
          </cell>
          <cell r="R632">
            <v>2.709677419354839</v>
          </cell>
          <cell r="S632">
            <v>2.2999999999999998</v>
          </cell>
          <cell r="T632">
            <v>2.709677419354839</v>
          </cell>
          <cell r="U632">
            <v>2.3666666666666667</v>
          </cell>
          <cell r="V632">
            <v>2.903225806451613</v>
          </cell>
          <cell r="W632">
            <v>3</v>
          </cell>
          <cell r="X632">
            <v>2.896551724137931</v>
          </cell>
          <cell r="Y632">
            <v>2.258064516129032</v>
          </cell>
          <cell r="Z632">
            <v>2.4333333333333331</v>
          </cell>
          <cell r="AA632">
            <v>2.838709677419355</v>
          </cell>
          <cell r="AB632">
            <v>2.5666666666666664</v>
          </cell>
          <cell r="AC632">
            <v>1.2903225806451613</v>
          </cell>
          <cell r="AD632">
            <v>0.77419354838709675</v>
          </cell>
          <cell r="AE632">
            <v>2.2999999999999998</v>
          </cell>
          <cell r="AF632">
            <v>2.967741935483871</v>
          </cell>
          <cell r="AG632">
            <v>2.8666666666666667</v>
          </cell>
          <cell r="AH632">
            <v>1.6774193548387097</v>
          </cell>
          <cell r="AI632">
            <v>1.5483870967741935</v>
          </cell>
          <cell r="AJ632">
            <v>2.6428571428571428</v>
          </cell>
          <cell r="AK632">
            <v>2.967741935483871</v>
          </cell>
          <cell r="AL632">
            <v>2.4333333333333331</v>
          </cell>
        </row>
        <row r="633">
          <cell r="C633" t="str">
            <v>Wayside/Framingham/98DennisonAve 9</v>
          </cell>
          <cell r="D633" t="str">
            <v>New Bedford Area Office</v>
          </cell>
          <cell r="R633">
            <v>0.5161290322580645</v>
          </cell>
          <cell r="S633">
            <v>1</v>
          </cell>
        </row>
        <row r="634">
          <cell r="C634" t="str">
            <v>Wayside/Framingham/98DennisonAve 10</v>
          </cell>
          <cell r="D634" t="str">
            <v>Park St. Area Office</v>
          </cell>
          <cell r="AE634">
            <v>0.13333333333333333</v>
          </cell>
        </row>
        <row r="635">
          <cell r="C635" t="str">
            <v>Wayside/Framingham/98DennisonAve 11</v>
          </cell>
          <cell r="D635" t="str">
            <v>South Central Area Office</v>
          </cell>
          <cell r="AA635">
            <v>0.45161290322580644</v>
          </cell>
        </row>
        <row r="636">
          <cell r="C636" t="str">
            <v>Wayside/Framingham/98DennisonAve 12</v>
          </cell>
          <cell r="D636" t="str">
            <v>Worcester East Area Office</v>
          </cell>
          <cell r="AL636">
            <v>0.23333333333333334</v>
          </cell>
        </row>
        <row r="637">
          <cell r="C637" t="str">
            <v>Wayside/Waltham/558WaverleyOaksRd 1</v>
          </cell>
          <cell r="D637" t="str">
            <v>Arlington Area Office</v>
          </cell>
          <cell r="H637">
            <v>1.7741935483870968</v>
          </cell>
          <cell r="I637">
            <v>2.2333333333333334</v>
          </cell>
          <cell r="J637">
            <v>1.032258064516129</v>
          </cell>
          <cell r="K637">
            <v>2.096774193548387</v>
          </cell>
          <cell r="L637">
            <v>2</v>
          </cell>
          <cell r="M637">
            <v>1.7741935483870968</v>
          </cell>
          <cell r="N637">
            <v>2.0333333333333332</v>
          </cell>
          <cell r="O637">
            <v>1.935483870967742</v>
          </cell>
          <cell r="P637">
            <v>2</v>
          </cell>
          <cell r="Q637">
            <v>2.032258064516129</v>
          </cell>
          <cell r="R637">
            <v>2</v>
          </cell>
          <cell r="S637">
            <v>0.9</v>
          </cell>
          <cell r="T637">
            <v>1.7419354838709677</v>
          </cell>
          <cell r="U637">
            <v>1.8666666666666667</v>
          </cell>
          <cell r="V637">
            <v>1.2903225806451615</v>
          </cell>
          <cell r="W637">
            <v>1.870967741935484</v>
          </cell>
          <cell r="X637">
            <v>1.4482758620689655</v>
          </cell>
          <cell r="Y637">
            <v>1.8064516129032258</v>
          </cell>
          <cell r="Z637">
            <v>2</v>
          </cell>
          <cell r="AA637">
            <v>2</v>
          </cell>
          <cell r="AB637">
            <v>1.6</v>
          </cell>
          <cell r="AC637">
            <v>1.8064516129032258</v>
          </cell>
          <cell r="AD637">
            <v>2.032258064516129</v>
          </cell>
          <cell r="AE637">
            <v>2</v>
          </cell>
          <cell r="AF637">
            <v>1.903225806451613</v>
          </cell>
          <cell r="AG637">
            <v>0.76666666666666661</v>
          </cell>
          <cell r="AH637">
            <v>2</v>
          </cell>
          <cell r="AI637">
            <v>2.0645161290322585</v>
          </cell>
          <cell r="AJ637">
            <v>2</v>
          </cell>
          <cell r="AK637">
            <v>1.838709677419355</v>
          </cell>
          <cell r="AL637">
            <v>2.2666666666666666</v>
          </cell>
        </row>
        <row r="638">
          <cell r="C638" t="str">
            <v>Wayside/Waltham/558WaverleyOaksRd 2</v>
          </cell>
          <cell r="D638" t="str">
            <v>Cambridge Area Office</v>
          </cell>
          <cell r="O638">
            <v>3.2258064516129031E-2</v>
          </cell>
          <cell r="P638">
            <v>1</v>
          </cell>
          <cell r="Q638">
            <v>0.35483870967741937</v>
          </cell>
        </row>
        <row r="639">
          <cell r="C639" t="str">
            <v>Wayside/Waltham/558WaverleyOaksRd 3</v>
          </cell>
          <cell r="D639" t="str">
            <v>Coastal Area Office</v>
          </cell>
          <cell r="N639">
            <v>3.3333333333333333E-2</v>
          </cell>
          <cell r="O639">
            <v>0.967741935483871</v>
          </cell>
          <cell r="T639">
            <v>6.4516129032258063E-2</v>
          </cell>
          <cell r="U639">
            <v>0.33333333333333331</v>
          </cell>
          <cell r="AK639">
            <v>0.12903225806451613</v>
          </cell>
          <cell r="AL639">
            <v>0.43333333333333335</v>
          </cell>
        </row>
        <row r="640">
          <cell r="C640" t="str">
            <v>Wayside/Waltham/558WaverleyOaksRd 4</v>
          </cell>
          <cell r="D640" t="str">
            <v>Dimock St. Area Office</v>
          </cell>
          <cell r="H640">
            <v>0.25806451612903225</v>
          </cell>
          <cell r="I640">
            <v>1</v>
          </cell>
          <cell r="J640">
            <v>0.19354838709677419</v>
          </cell>
          <cell r="L640">
            <v>0.7142857142857143</v>
          </cell>
          <cell r="M640">
            <v>0.967741935483871</v>
          </cell>
          <cell r="N640">
            <v>0.8666666666666667</v>
          </cell>
          <cell r="X640">
            <v>1.3103448275862069</v>
          </cell>
          <cell r="Y640">
            <v>1.774193548387097</v>
          </cell>
          <cell r="Z640">
            <v>1.3333333333333335</v>
          </cell>
          <cell r="AA640">
            <v>1.6451612903225805</v>
          </cell>
          <cell r="AB640">
            <v>0.56666666666666665</v>
          </cell>
          <cell r="AC640">
            <v>0.70967741935483875</v>
          </cell>
          <cell r="AD640">
            <v>0.67741935483870963</v>
          </cell>
          <cell r="AK640">
            <v>0.74193548387096775</v>
          </cell>
          <cell r="AL640">
            <v>0.16666666666666666</v>
          </cell>
        </row>
        <row r="641">
          <cell r="C641" t="str">
            <v>Wayside/Waltham/558WaverleyOaksRd 5</v>
          </cell>
          <cell r="D641" t="str">
            <v>Framingham Area Office</v>
          </cell>
          <cell r="J641">
            <v>0.45161290322580644</v>
          </cell>
          <cell r="K641">
            <v>0.58064516129032262</v>
          </cell>
          <cell r="L641">
            <v>0.32142857142857145</v>
          </cell>
          <cell r="M641">
            <v>0.16129032258064516</v>
          </cell>
          <cell r="R641">
            <v>9.6774193548387094E-2</v>
          </cell>
          <cell r="S641">
            <v>0.3</v>
          </cell>
          <cell r="T641">
            <v>9.6774193548387094E-2</v>
          </cell>
          <cell r="U641">
            <v>3.3333333333333333E-2</v>
          </cell>
          <cell r="V641">
            <v>0.25806451612903225</v>
          </cell>
          <cell r="W641">
            <v>0.54838709677419351</v>
          </cell>
          <cell r="X641">
            <v>0.20689655172413793</v>
          </cell>
          <cell r="Y641">
            <v>0.25806451612903225</v>
          </cell>
          <cell r="Z641">
            <v>0.8666666666666667</v>
          </cell>
          <cell r="AA641">
            <v>3.2258064516129031E-2</v>
          </cell>
          <cell r="AB641">
            <v>0.13333333333333333</v>
          </cell>
          <cell r="AD641">
            <v>9.6774193548387094E-2</v>
          </cell>
          <cell r="AE641">
            <v>0.16666666666666666</v>
          </cell>
          <cell r="AG641">
            <v>0.1</v>
          </cell>
          <cell r="AI641">
            <v>3.2258064516129031E-2</v>
          </cell>
          <cell r="AJ641">
            <v>0.14285714285714285</v>
          </cell>
          <cell r="AK641">
            <v>0.67741935483870974</v>
          </cell>
          <cell r="AL641">
            <v>0.23333333333333334</v>
          </cell>
        </row>
        <row r="642">
          <cell r="C642" t="str">
            <v>Wayside/Waltham/558WaverleyOaksRd 6</v>
          </cell>
          <cell r="D642" t="str">
            <v>Harbor Area Office</v>
          </cell>
          <cell r="I642">
            <v>0.13333333333333333</v>
          </cell>
          <cell r="J642">
            <v>0.45161290322580644</v>
          </cell>
          <cell r="M642">
            <v>0.25806451612903225</v>
          </cell>
          <cell r="N642">
            <v>0.8666666666666667</v>
          </cell>
          <cell r="O642">
            <v>0.87096774193548376</v>
          </cell>
          <cell r="P642">
            <v>0.6</v>
          </cell>
          <cell r="Q642">
            <v>0.4838709677419355</v>
          </cell>
          <cell r="S642">
            <v>1.3666666666666667</v>
          </cell>
          <cell r="T642">
            <v>1.870967741935484</v>
          </cell>
          <cell r="V642">
            <v>2</v>
          </cell>
          <cell r="W642">
            <v>1.870967741935484</v>
          </cell>
          <cell r="Z642">
            <v>0.3</v>
          </cell>
          <cell r="AA642">
            <v>0.87096774193548387</v>
          </cell>
          <cell r="AD642">
            <v>0.45161290322580649</v>
          </cell>
          <cell r="AE642">
            <v>1</v>
          </cell>
          <cell r="AF642">
            <v>0.74193548387096775</v>
          </cell>
          <cell r="AG642">
            <v>0.13333333333333333</v>
          </cell>
          <cell r="AI642">
            <v>0.54838709677419351</v>
          </cell>
          <cell r="AJ642">
            <v>0.9285714285714286</v>
          </cell>
          <cell r="AK642">
            <v>0.54838709677419351</v>
          </cell>
        </row>
        <row r="643">
          <cell r="C643" t="str">
            <v>Wayside/Waltham/558WaverleyOaksRd 7</v>
          </cell>
          <cell r="D643" t="str">
            <v>Hyde Park Area Office</v>
          </cell>
          <cell r="J643">
            <v>0.967741935483871</v>
          </cell>
          <cell r="K643">
            <v>1.5806451612903225</v>
          </cell>
          <cell r="L643">
            <v>0.39285714285714285</v>
          </cell>
          <cell r="M643">
            <v>1</v>
          </cell>
          <cell r="N643">
            <v>0.8</v>
          </cell>
          <cell r="O643">
            <v>1.032258064516129</v>
          </cell>
          <cell r="P643">
            <v>2.4</v>
          </cell>
          <cell r="Q643">
            <v>1.2580645161290323</v>
          </cell>
          <cell r="R643">
            <v>1.3548387096774195</v>
          </cell>
          <cell r="S643">
            <v>0.9</v>
          </cell>
          <cell r="X643">
            <v>0.82758620689655171</v>
          </cell>
          <cell r="Y643">
            <v>1.2258064516129032</v>
          </cell>
          <cell r="Z643">
            <v>0.26666666666666666</v>
          </cell>
          <cell r="AB643">
            <v>0.66666666666666663</v>
          </cell>
          <cell r="AC643">
            <v>1.6129032258064515</v>
          </cell>
          <cell r="AD643">
            <v>0.16129032258064516</v>
          </cell>
          <cell r="AE643">
            <v>0.4</v>
          </cell>
          <cell r="AF643">
            <v>1</v>
          </cell>
          <cell r="AG643">
            <v>1.5666666666666667</v>
          </cell>
          <cell r="AH643">
            <v>1.032258064516129</v>
          </cell>
          <cell r="AI643">
            <v>0.70967741935483875</v>
          </cell>
          <cell r="AJ643">
            <v>0.5</v>
          </cell>
          <cell r="AK643">
            <v>0.22580645161290322</v>
          </cell>
          <cell r="AL643">
            <v>0.86666666666666659</v>
          </cell>
        </row>
        <row r="644">
          <cell r="C644" t="str">
            <v>Wayside/Waltham/558WaverleyOaksRd 8</v>
          </cell>
          <cell r="D644" t="str">
            <v>Lynn Area Office</v>
          </cell>
          <cell r="AG644">
            <v>0.9</v>
          </cell>
          <cell r="AH644">
            <v>0.12903225806451613</v>
          </cell>
          <cell r="AL644">
            <v>6.6666666666666666E-2</v>
          </cell>
        </row>
        <row r="645">
          <cell r="C645" t="str">
            <v>Wayside/Waltham/558WaverleyOaksRd 9</v>
          </cell>
          <cell r="D645" t="str">
            <v>Malden Area Office</v>
          </cell>
          <cell r="H645">
            <v>2.870967741935484</v>
          </cell>
          <cell r="I645">
            <v>1.5333333333333332</v>
          </cell>
          <cell r="J645">
            <v>1.5483870967741935</v>
          </cell>
          <cell r="K645">
            <v>2.096774193548387</v>
          </cell>
          <cell r="L645">
            <v>2</v>
          </cell>
          <cell r="M645">
            <v>2.5806451612903225</v>
          </cell>
          <cell r="N645">
            <v>2.7</v>
          </cell>
          <cell r="O645">
            <v>2.5483870967741935</v>
          </cell>
          <cell r="P645">
            <v>1.8333333333333335</v>
          </cell>
          <cell r="Q645">
            <v>2.3548387096774195</v>
          </cell>
          <cell r="R645">
            <v>2.709677419354839</v>
          </cell>
          <cell r="S645">
            <v>1.9333333333333336</v>
          </cell>
          <cell r="T645">
            <v>2.67741935483871</v>
          </cell>
          <cell r="U645">
            <v>2.4333333333333331</v>
          </cell>
          <cell r="V645">
            <v>2.3870967741935485</v>
          </cell>
          <cell r="W645">
            <v>1.8709677419354838</v>
          </cell>
          <cell r="X645">
            <v>2.7931034482758621</v>
          </cell>
          <cell r="Y645">
            <v>0.90322580645161299</v>
          </cell>
          <cell r="Z645">
            <v>1.4333333333333333</v>
          </cell>
          <cell r="AA645">
            <v>2.2903225806451615</v>
          </cell>
          <cell r="AB645">
            <v>1.9333333333333331</v>
          </cell>
          <cell r="AC645">
            <v>2.225806451612903</v>
          </cell>
          <cell r="AD645">
            <v>1.903225806451613</v>
          </cell>
          <cell r="AE645">
            <v>2.6333333333333329</v>
          </cell>
          <cell r="AF645">
            <v>2.67741935483871</v>
          </cell>
          <cell r="AG645">
            <v>1.2</v>
          </cell>
          <cell r="AH645">
            <v>1.967741935483871</v>
          </cell>
          <cell r="AI645">
            <v>2.161290322580645</v>
          </cell>
          <cell r="AJ645">
            <v>2.1071428571428572</v>
          </cell>
          <cell r="AK645">
            <v>2.806451612903226</v>
          </cell>
          <cell r="AL645">
            <v>0.26666666666666666</v>
          </cell>
        </row>
        <row r="646">
          <cell r="C646" t="str">
            <v>Wayside/Waltham/558WaverleyOaksRd 10</v>
          </cell>
          <cell r="D646" t="str">
            <v>Park St. Area Office</v>
          </cell>
          <cell r="H646">
            <v>0.45161290322580644</v>
          </cell>
          <cell r="I646">
            <v>0.53333333333333333</v>
          </cell>
          <cell r="J646">
            <v>1.4516129032258065</v>
          </cell>
          <cell r="K646">
            <v>1.2580645161290323</v>
          </cell>
          <cell r="L646">
            <v>1.5</v>
          </cell>
          <cell r="M646">
            <v>1.6129032258064515</v>
          </cell>
          <cell r="N646">
            <v>0.93333333333333324</v>
          </cell>
          <cell r="Q646">
            <v>0.67741935483870974</v>
          </cell>
          <cell r="R646">
            <v>0.4838709677419355</v>
          </cell>
          <cell r="S646">
            <v>0.6333333333333333</v>
          </cell>
          <cell r="T646">
            <v>1.3548387096774193</v>
          </cell>
          <cell r="U646">
            <v>1.8333333333333335</v>
          </cell>
          <cell r="V646">
            <v>0.74193548387096775</v>
          </cell>
          <cell r="W646">
            <v>1.3225806451612903</v>
          </cell>
          <cell r="X646">
            <v>1</v>
          </cell>
          <cell r="Y646">
            <v>0.5161290322580645</v>
          </cell>
          <cell r="Z646">
            <v>1.3333333333333333</v>
          </cell>
          <cell r="AA646">
            <v>0.64516129032258063</v>
          </cell>
          <cell r="AB646">
            <v>1.8666666666666667</v>
          </cell>
          <cell r="AC646">
            <v>1.2580645161290323</v>
          </cell>
          <cell r="AD646">
            <v>2.8064516129032255</v>
          </cell>
          <cell r="AE646">
            <v>2.6333333333333333</v>
          </cell>
          <cell r="AF646">
            <v>1.129032258064516</v>
          </cell>
          <cell r="AG646">
            <v>0.9</v>
          </cell>
          <cell r="AH646">
            <v>1.870967741935484</v>
          </cell>
          <cell r="AI646">
            <v>2.032258064516129</v>
          </cell>
          <cell r="AJ646">
            <v>1.5</v>
          </cell>
          <cell r="AK646">
            <v>1.064516129032258</v>
          </cell>
          <cell r="AL646">
            <v>1.3333333333333335</v>
          </cell>
        </row>
        <row r="647">
          <cell r="C647" t="str">
            <v>Wayside/Waltham/558WaverleyOaksRd 11</v>
          </cell>
          <cell r="D647" t="str">
            <v>Solutions for Living (PAS Metro)</v>
          </cell>
          <cell r="K647">
            <v>6.4516129032258063E-2</v>
          </cell>
        </row>
        <row r="648">
          <cell r="C648" t="str">
            <v>YOU / Boylston / 1 Elmwood Place 1</v>
          </cell>
          <cell r="D648" t="str">
            <v>Framingham Area Office</v>
          </cell>
          <cell r="AC648">
            <v>0.35483870967741937</v>
          </cell>
        </row>
        <row r="649">
          <cell r="C649" t="str">
            <v>YOU / Boylston / 1 Elmwood Place 2</v>
          </cell>
          <cell r="D649" t="str">
            <v>North Central Area Office</v>
          </cell>
          <cell r="E649">
            <v>2</v>
          </cell>
          <cell r="F649">
            <v>1.935483870967742</v>
          </cell>
          <cell r="G649">
            <v>2</v>
          </cell>
          <cell r="H649">
            <v>2</v>
          </cell>
          <cell r="I649">
            <v>1.9</v>
          </cell>
          <cell r="J649">
            <v>2</v>
          </cell>
          <cell r="K649">
            <v>2</v>
          </cell>
          <cell r="L649">
            <v>1.7857142857142856</v>
          </cell>
          <cell r="M649">
            <v>2</v>
          </cell>
          <cell r="N649">
            <v>2.8666666666666667</v>
          </cell>
          <cell r="O649">
            <v>3</v>
          </cell>
          <cell r="P649">
            <v>3</v>
          </cell>
          <cell r="Q649">
            <v>3.354838709677419</v>
          </cell>
          <cell r="R649">
            <v>3</v>
          </cell>
          <cell r="S649">
            <v>2.5666666666666664</v>
          </cell>
          <cell r="T649">
            <v>3</v>
          </cell>
          <cell r="U649">
            <v>2.4666666666666668</v>
          </cell>
          <cell r="V649">
            <v>2.967741935483871</v>
          </cell>
          <cell r="W649">
            <v>3</v>
          </cell>
          <cell r="X649">
            <v>3</v>
          </cell>
          <cell r="Y649">
            <v>2.967741935483871</v>
          </cell>
          <cell r="Z649">
            <v>2.9333333333333336</v>
          </cell>
          <cell r="AA649">
            <v>3</v>
          </cell>
          <cell r="AB649">
            <v>2.6</v>
          </cell>
          <cell r="AC649">
            <v>2.4516129032258065</v>
          </cell>
          <cell r="AD649">
            <v>2.3548387096774195</v>
          </cell>
          <cell r="AE649">
            <v>2.9333333333333336</v>
          </cell>
          <cell r="AF649">
            <v>2.645161290322581</v>
          </cell>
          <cell r="AG649">
            <v>2.9333333333333336</v>
          </cell>
          <cell r="AH649">
            <v>2.967741935483871</v>
          </cell>
          <cell r="AI649">
            <v>2.741935483870968</v>
          </cell>
          <cell r="AJ649">
            <v>3</v>
          </cell>
          <cell r="AK649">
            <v>2.709677419354839</v>
          </cell>
          <cell r="AL649">
            <v>3</v>
          </cell>
          <cell r="AM649">
            <v>2.709677419354839</v>
          </cell>
          <cell r="AN649">
            <v>3</v>
          </cell>
          <cell r="AO649">
            <v>2.096774193548387</v>
          </cell>
          <cell r="AP649">
            <v>2.5483870967741935</v>
          </cell>
          <cell r="AQ649">
            <v>1.9</v>
          </cell>
          <cell r="AR649">
            <v>2.3548387096774195</v>
          </cell>
          <cell r="AS649">
            <v>2.6333333333333333</v>
          </cell>
          <cell r="AT649">
            <v>2.129032258064516</v>
          </cell>
          <cell r="AU649">
            <v>2.806451612903226</v>
          </cell>
          <cell r="AV649">
            <v>2.4642857142857144</v>
          </cell>
          <cell r="AW649">
            <v>2</v>
          </cell>
          <cell r="AX649">
            <v>2.0333333333333332</v>
          </cell>
          <cell r="AY649">
            <v>2.6451612903225805</v>
          </cell>
          <cell r="AZ649">
            <v>1.5333333333333334</v>
          </cell>
        </row>
        <row r="650">
          <cell r="C650" t="str">
            <v>YOU / Boylston / 1 Elmwood Place 3</v>
          </cell>
          <cell r="D650" t="str">
            <v>South Central Area Office</v>
          </cell>
          <cell r="E650">
            <v>2.4838709677419355</v>
          </cell>
          <cell r="F650">
            <v>2.5806451612903225</v>
          </cell>
          <cell r="G650">
            <v>3</v>
          </cell>
          <cell r="H650">
            <v>2.838709677419355</v>
          </cell>
          <cell r="I650">
            <v>2.4333333333333331</v>
          </cell>
          <cell r="J650">
            <v>1.7419354838709677</v>
          </cell>
          <cell r="K650">
            <v>2.903225806451613</v>
          </cell>
          <cell r="L650">
            <v>1.7857142857142856</v>
          </cell>
          <cell r="M650">
            <v>1</v>
          </cell>
          <cell r="N650">
            <v>0.26666666666666666</v>
          </cell>
          <cell r="Q650">
            <v>0.61290322580645162</v>
          </cell>
          <cell r="R650">
            <v>1</v>
          </cell>
          <cell r="S650">
            <v>1</v>
          </cell>
          <cell r="T650">
            <v>1</v>
          </cell>
          <cell r="U650">
            <v>0.6</v>
          </cell>
          <cell r="V650">
            <v>1</v>
          </cell>
          <cell r="W650">
            <v>0.29032258064516125</v>
          </cell>
          <cell r="X650">
            <v>1</v>
          </cell>
          <cell r="Y650">
            <v>1</v>
          </cell>
          <cell r="Z650">
            <v>1</v>
          </cell>
          <cell r="AA650">
            <v>1</v>
          </cell>
          <cell r="AB650">
            <v>0.16666666666666666</v>
          </cell>
          <cell r="AC650">
            <v>0.67741935483870963</v>
          </cell>
          <cell r="AD650">
            <v>1.096774193548387</v>
          </cell>
          <cell r="AE650">
            <v>1</v>
          </cell>
          <cell r="AF650">
            <v>0.70967741935483875</v>
          </cell>
          <cell r="AG650">
            <v>1</v>
          </cell>
          <cell r="AH650">
            <v>1</v>
          </cell>
          <cell r="AI650">
            <v>0.87096774193548387</v>
          </cell>
          <cell r="AJ650">
            <v>1</v>
          </cell>
          <cell r="AK650">
            <v>1</v>
          </cell>
          <cell r="AL650">
            <v>1</v>
          </cell>
          <cell r="AM650">
            <v>1</v>
          </cell>
          <cell r="AN650">
            <v>1</v>
          </cell>
          <cell r="AO650">
            <v>1</v>
          </cell>
          <cell r="AP650">
            <v>0.90322580645161288</v>
          </cell>
          <cell r="AQ650">
            <v>1</v>
          </cell>
          <cell r="AR650">
            <v>1</v>
          </cell>
          <cell r="AS650">
            <v>1</v>
          </cell>
          <cell r="AT650">
            <v>0.32258064516129031</v>
          </cell>
          <cell r="AU650">
            <v>9.6774193548387094E-2</v>
          </cell>
          <cell r="AV650">
            <v>1</v>
          </cell>
          <cell r="AW650">
            <v>1.3870967741935483</v>
          </cell>
          <cell r="AX650">
            <v>1.8333333333333335</v>
          </cell>
          <cell r="AY650">
            <v>2</v>
          </cell>
          <cell r="AZ650">
            <v>2</v>
          </cell>
        </row>
        <row r="651">
          <cell r="C651" t="str">
            <v>YOU / Boylston / 1 Elmwood Place 4</v>
          </cell>
          <cell r="D651" t="str">
            <v>Worcester East Area Office</v>
          </cell>
          <cell r="E651">
            <v>2</v>
          </cell>
          <cell r="F651">
            <v>2</v>
          </cell>
          <cell r="G651">
            <v>2</v>
          </cell>
          <cell r="H651">
            <v>1.5806451612903225</v>
          </cell>
          <cell r="I651">
            <v>1</v>
          </cell>
          <cell r="J651">
            <v>2.096774193548387</v>
          </cell>
          <cell r="K651">
            <v>1.903225806451613</v>
          </cell>
          <cell r="L651">
            <v>2.1785714285714288</v>
          </cell>
          <cell r="M651">
            <v>2</v>
          </cell>
          <cell r="N651">
            <v>2.4333333333333336</v>
          </cell>
          <cell r="O651">
            <v>2.5161290322580645</v>
          </cell>
          <cell r="P651">
            <v>3</v>
          </cell>
          <cell r="Q651">
            <v>2.3548387096774195</v>
          </cell>
          <cell r="R651">
            <v>1.806451612903226</v>
          </cell>
          <cell r="S651">
            <v>2</v>
          </cell>
          <cell r="T651">
            <v>2</v>
          </cell>
          <cell r="U651">
            <v>2.2999999999999998</v>
          </cell>
          <cell r="V651">
            <v>2</v>
          </cell>
          <cell r="W651">
            <v>1.5483870967741935</v>
          </cell>
          <cell r="X651">
            <v>2</v>
          </cell>
          <cell r="Y651">
            <v>1.9677419354838708</v>
          </cell>
          <cell r="Z651">
            <v>2</v>
          </cell>
          <cell r="AA651">
            <v>2</v>
          </cell>
          <cell r="AB651">
            <v>2</v>
          </cell>
          <cell r="AC651">
            <v>2</v>
          </cell>
          <cell r="AD651">
            <v>1.3870967741935485</v>
          </cell>
          <cell r="AE651">
            <v>1</v>
          </cell>
          <cell r="AF651">
            <v>1</v>
          </cell>
          <cell r="AG651">
            <v>1</v>
          </cell>
          <cell r="AH651">
            <v>1</v>
          </cell>
          <cell r="AI651">
            <v>1</v>
          </cell>
          <cell r="AJ651">
            <v>0.9642857142857143</v>
          </cell>
          <cell r="AK651">
            <v>1.032258064516129</v>
          </cell>
          <cell r="AL651">
            <v>1.8</v>
          </cell>
          <cell r="AM651">
            <v>1.903225806451613</v>
          </cell>
          <cell r="AN651">
            <v>1.6666666666666667</v>
          </cell>
          <cell r="AO651">
            <v>2</v>
          </cell>
          <cell r="AP651">
            <v>2</v>
          </cell>
          <cell r="AQ651">
            <v>2</v>
          </cell>
          <cell r="AR651">
            <v>2</v>
          </cell>
          <cell r="AS651">
            <v>1.5333333333333332</v>
          </cell>
          <cell r="AT651">
            <v>1.7741935483870965</v>
          </cell>
          <cell r="AU651">
            <v>1.064516129032258</v>
          </cell>
          <cell r="AV651">
            <v>2.1785714285714284</v>
          </cell>
          <cell r="AW651">
            <v>2</v>
          </cell>
          <cell r="AX651">
            <v>1.2333333333333334</v>
          </cell>
          <cell r="AY651">
            <v>1</v>
          </cell>
          <cell r="AZ651">
            <v>0.96666666666666667</v>
          </cell>
        </row>
        <row r="652">
          <cell r="C652" t="str">
            <v>YOU / Boylston / 1 Elmwood Place 5</v>
          </cell>
          <cell r="D652" t="str">
            <v>Worcester West Area Office</v>
          </cell>
          <cell r="E652">
            <v>1.4516129032258065</v>
          </cell>
          <cell r="F652">
            <v>1.967741935483871</v>
          </cell>
          <cell r="G652">
            <v>1.8666666666666667</v>
          </cell>
          <cell r="H652">
            <v>2</v>
          </cell>
          <cell r="I652">
            <v>2.2000000000000002</v>
          </cell>
          <cell r="J652">
            <v>1.1612903225806452</v>
          </cell>
          <cell r="K652">
            <v>1</v>
          </cell>
          <cell r="L652">
            <v>2</v>
          </cell>
          <cell r="M652">
            <v>2</v>
          </cell>
          <cell r="N652">
            <v>2.7333333333333334</v>
          </cell>
          <cell r="O652">
            <v>2.838709677419355</v>
          </cell>
          <cell r="P652">
            <v>2.8333333333333335</v>
          </cell>
          <cell r="Q652">
            <v>2.6129032258064515</v>
          </cell>
          <cell r="R652">
            <v>2.903225806451613</v>
          </cell>
          <cell r="S652">
            <v>2.4666666666666668</v>
          </cell>
          <cell r="T652">
            <v>3</v>
          </cell>
          <cell r="U652">
            <v>2.7333333333333334</v>
          </cell>
          <cell r="V652">
            <v>3</v>
          </cell>
          <cell r="W652">
            <v>3</v>
          </cell>
          <cell r="X652">
            <v>3</v>
          </cell>
          <cell r="Y652">
            <v>2.870967741935484</v>
          </cell>
          <cell r="Z652">
            <v>3</v>
          </cell>
          <cell r="AA652">
            <v>3</v>
          </cell>
          <cell r="AB652">
            <v>3.166666666666667</v>
          </cell>
          <cell r="AC652">
            <v>2.419354838709677</v>
          </cell>
          <cell r="AD652">
            <v>2.032258064516129</v>
          </cell>
          <cell r="AE652">
            <v>3</v>
          </cell>
          <cell r="AF652">
            <v>3.1290322580645165</v>
          </cell>
          <cell r="AG652">
            <v>2.4333333333333336</v>
          </cell>
          <cell r="AH652">
            <v>2.67741935483871</v>
          </cell>
          <cell r="AI652">
            <v>3</v>
          </cell>
          <cell r="AJ652">
            <v>2.9642857142857144</v>
          </cell>
          <cell r="AK652">
            <v>2.935483870967742</v>
          </cell>
          <cell r="AL652">
            <v>2.2999999999999998</v>
          </cell>
          <cell r="AM652">
            <v>2.774193548387097</v>
          </cell>
          <cell r="AN652">
            <v>2.8</v>
          </cell>
          <cell r="AO652">
            <v>2.741935483870968</v>
          </cell>
          <cell r="AP652">
            <v>2.6774193548387095</v>
          </cell>
          <cell r="AQ652">
            <v>2.9666666666666668</v>
          </cell>
          <cell r="AR652">
            <v>3.096774193548387</v>
          </cell>
          <cell r="AS652">
            <v>2.2000000000000002</v>
          </cell>
          <cell r="AT652">
            <v>2.741935483870968</v>
          </cell>
          <cell r="AU652">
            <v>3</v>
          </cell>
          <cell r="AV652">
            <v>2.8928571428571428</v>
          </cell>
          <cell r="AW652">
            <v>2.7096774193548385</v>
          </cell>
          <cell r="AX652">
            <v>2.1333333333333333</v>
          </cell>
          <cell r="AY652">
            <v>2.8064516129032251</v>
          </cell>
          <cell r="AZ652">
            <v>2.833333333333333</v>
          </cell>
        </row>
        <row r="653">
          <cell r="C653" t="str">
            <v>YOU / Worcester / 37 Boylston 1</v>
          </cell>
          <cell r="D653" t="str">
            <v>Haverhill Area Office</v>
          </cell>
          <cell r="N653">
            <v>0.13333333333333333</v>
          </cell>
        </row>
        <row r="654">
          <cell r="C654" t="str">
            <v>YOU / Worcester / 37 Boylston 2</v>
          </cell>
          <cell r="D654" t="str">
            <v>North Central Area Office</v>
          </cell>
          <cell r="W654">
            <v>6.4516129032258063E-2</v>
          </cell>
          <cell r="AB654">
            <v>0.1</v>
          </cell>
          <cell r="AD654">
            <v>0.87096774193548387</v>
          </cell>
          <cell r="AY654">
            <v>0.90322580645161288</v>
          </cell>
          <cell r="AZ654">
            <v>0.53333333333333333</v>
          </cell>
        </row>
        <row r="655">
          <cell r="C655" t="str">
            <v>YOU / Worcester / 37 Boylston 3</v>
          </cell>
          <cell r="D655" t="str">
            <v>South Central Area Office</v>
          </cell>
          <cell r="E655">
            <v>1</v>
          </cell>
          <cell r="F655">
            <v>1.6451612903225805</v>
          </cell>
          <cell r="G655">
            <v>2</v>
          </cell>
          <cell r="H655">
            <v>2</v>
          </cell>
          <cell r="I655">
            <v>1.9666666666666666</v>
          </cell>
          <cell r="J655">
            <v>1</v>
          </cell>
          <cell r="K655">
            <v>1.7419354838709677</v>
          </cell>
          <cell r="L655">
            <v>2.1428571428571432</v>
          </cell>
          <cell r="M655">
            <v>4</v>
          </cell>
          <cell r="N655">
            <v>2.5333333333333332</v>
          </cell>
          <cell r="O655">
            <v>2</v>
          </cell>
          <cell r="P655">
            <v>1.3333333333333335</v>
          </cell>
          <cell r="Q655">
            <v>0.83870967741935487</v>
          </cell>
          <cell r="R655">
            <v>1</v>
          </cell>
          <cell r="S655">
            <v>1</v>
          </cell>
          <cell r="T655">
            <v>1</v>
          </cell>
          <cell r="U655">
            <v>1</v>
          </cell>
          <cell r="V655">
            <v>0.83870967741935487</v>
          </cell>
          <cell r="W655">
            <v>0.90322580645161288</v>
          </cell>
          <cell r="X655">
            <v>1</v>
          </cell>
          <cell r="Y655">
            <v>0.61290322580645162</v>
          </cell>
          <cell r="Z655">
            <v>0.46666666666666667</v>
          </cell>
          <cell r="AA655">
            <v>1</v>
          </cell>
          <cell r="AB655">
            <v>0.26666666666666666</v>
          </cell>
          <cell r="AC655">
            <v>1</v>
          </cell>
          <cell r="AD655">
            <v>1</v>
          </cell>
          <cell r="AE655">
            <v>1</v>
          </cell>
          <cell r="AF655">
            <v>1</v>
          </cell>
          <cell r="AG655">
            <v>0.43333333333333335</v>
          </cell>
          <cell r="AH655">
            <v>0.19354838709677419</v>
          </cell>
          <cell r="AI655">
            <v>1</v>
          </cell>
          <cell r="AJ655">
            <v>1</v>
          </cell>
          <cell r="AK655">
            <v>0.61290322580645162</v>
          </cell>
          <cell r="AL655">
            <v>0.8666666666666667</v>
          </cell>
          <cell r="AM655">
            <v>1.064516129032258</v>
          </cell>
          <cell r="AN655">
            <v>1</v>
          </cell>
          <cell r="AO655">
            <v>1</v>
          </cell>
          <cell r="AP655">
            <v>1</v>
          </cell>
          <cell r="AQ655">
            <v>1.7</v>
          </cell>
          <cell r="AR655">
            <v>1.6774193548387095</v>
          </cell>
          <cell r="AS655">
            <v>1</v>
          </cell>
          <cell r="AT655">
            <v>3.2258064516129031E-2</v>
          </cell>
        </row>
        <row r="656">
          <cell r="C656" t="str">
            <v>YOU / Worcester / 37 Boylston 4</v>
          </cell>
          <cell r="D656" t="str">
            <v>Worcester East Area Office</v>
          </cell>
          <cell r="E656">
            <v>2</v>
          </cell>
          <cell r="F656">
            <v>2</v>
          </cell>
          <cell r="G656">
            <v>2.2333333333333334</v>
          </cell>
          <cell r="H656">
            <v>2</v>
          </cell>
          <cell r="I656">
            <v>1.7333333333333334</v>
          </cell>
          <cell r="J656">
            <v>2</v>
          </cell>
          <cell r="K656">
            <v>2.4838709677419355</v>
          </cell>
          <cell r="L656">
            <v>1.9285714285714286</v>
          </cell>
          <cell r="M656">
            <v>1.8064516129032258</v>
          </cell>
          <cell r="N656">
            <v>1.8666666666666667</v>
          </cell>
          <cell r="O656">
            <v>2</v>
          </cell>
          <cell r="P656">
            <v>2.3666666666666667</v>
          </cell>
          <cell r="Q656">
            <v>2.7096774193548385</v>
          </cell>
          <cell r="R656">
            <v>2.870967741935484</v>
          </cell>
          <cell r="S656">
            <v>2.8666666666666667</v>
          </cell>
          <cell r="T656">
            <v>3</v>
          </cell>
          <cell r="U656">
            <v>4</v>
          </cell>
          <cell r="V656">
            <v>3.4193548387096775</v>
          </cell>
          <cell r="W656">
            <v>2.5483870967741935</v>
          </cell>
          <cell r="X656">
            <v>2.6551724137931032</v>
          </cell>
          <cell r="Y656">
            <v>3.3548387096774195</v>
          </cell>
          <cell r="Z656">
            <v>3.5</v>
          </cell>
          <cell r="AA656">
            <v>2.967741935483871</v>
          </cell>
          <cell r="AB656">
            <v>3.6</v>
          </cell>
          <cell r="AC656">
            <v>2.6774193548387095</v>
          </cell>
          <cell r="AD656">
            <v>3.774193548387097</v>
          </cell>
          <cell r="AE656">
            <v>3.9666666666666668</v>
          </cell>
          <cell r="AF656">
            <v>2.387096774193548</v>
          </cell>
          <cell r="AG656">
            <v>2.4333333333333336</v>
          </cell>
          <cell r="AH656">
            <v>4.096774193548387</v>
          </cell>
          <cell r="AI656">
            <v>4</v>
          </cell>
          <cell r="AJ656">
            <v>4</v>
          </cell>
          <cell r="AK656">
            <v>4</v>
          </cell>
          <cell r="AL656">
            <v>2.2999999999999998</v>
          </cell>
          <cell r="AM656">
            <v>2</v>
          </cell>
          <cell r="AN656">
            <v>2.8</v>
          </cell>
          <cell r="AO656">
            <v>2.67741935483871</v>
          </cell>
          <cell r="AP656">
            <v>2.935483870967742</v>
          </cell>
          <cell r="AQ656">
            <v>1.5</v>
          </cell>
          <cell r="AR656">
            <v>2</v>
          </cell>
          <cell r="AS656">
            <v>2.5</v>
          </cell>
          <cell r="AT656">
            <v>3</v>
          </cell>
          <cell r="AU656">
            <v>2.967741935483871</v>
          </cell>
          <cell r="AV656">
            <v>3</v>
          </cell>
          <cell r="AW656">
            <v>2.935483870967742</v>
          </cell>
          <cell r="AX656">
            <v>2.1</v>
          </cell>
          <cell r="AY656">
            <v>1.967741935483871</v>
          </cell>
          <cell r="AZ656">
            <v>2.5</v>
          </cell>
        </row>
        <row r="657">
          <cell r="C657" t="str">
            <v>YOU / Worcester / 37 Boylston 5</v>
          </cell>
          <cell r="D657" t="str">
            <v>Worcester West Area Office</v>
          </cell>
          <cell r="E657">
            <v>1.6451612903225805</v>
          </cell>
          <cell r="F657">
            <v>1.8709677419354838</v>
          </cell>
          <cell r="G657">
            <v>1.6666666666666665</v>
          </cell>
          <cell r="H657">
            <v>1.935483870967742</v>
          </cell>
          <cell r="I657">
            <v>2</v>
          </cell>
          <cell r="J657">
            <v>2.419354838709677</v>
          </cell>
          <cell r="K657">
            <v>2.161290322580645</v>
          </cell>
          <cell r="L657">
            <v>2.25</v>
          </cell>
          <cell r="M657">
            <v>2</v>
          </cell>
          <cell r="N657">
            <v>2</v>
          </cell>
          <cell r="O657">
            <v>2</v>
          </cell>
          <cell r="P657">
            <v>1.8333333333333333</v>
          </cell>
          <cell r="Q657">
            <v>2</v>
          </cell>
          <cell r="R657">
            <v>1.8709677419354838</v>
          </cell>
          <cell r="S657">
            <v>1.9</v>
          </cell>
          <cell r="T657">
            <v>2</v>
          </cell>
          <cell r="U657">
            <v>1</v>
          </cell>
          <cell r="V657">
            <v>1.3870967741935485</v>
          </cell>
          <cell r="W657">
            <v>2</v>
          </cell>
          <cell r="X657">
            <v>2</v>
          </cell>
          <cell r="Y657">
            <v>1.4516129032258065</v>
          </cell>
          <cell r="Z657">
            <v>2</v>
          </cell>
          <cell r="AA657">
            <v>2</v>
          </cell>
          <cell r="AB657">
            <v>1.8666666666666667</v>
          </cell>
          <cell r="AC657">
            <v>1.9032258064516128</v>
          </cell>
          <cell r="AD657">
            <v>1.129032258064516</v>
          </cell>
          <cell r="AE657">
            <v>2</v>
          </cell>
          <cell r="AF657">
            <v>2</v>
          </cell>
          <cell r="AG657">
            <v>2.6333333333333333</v>
          </cell>
          <cell r="AH657">
            <v>1.032258064516129</v>
          </cell>
          <cell r="AI657">
            <v>2</v>
          </cell>
          <cell r="AJ657">
            <v>1.7857142857142856</v>
          </cell>
          <cell r="AK657">
            <v>1.838709677419355</v>
          </cell>
          <cell r="AL657">
            <v>2</v>
          </cell>
          <cell r="AM657">
            <v>2</v>
          </cell>
          <cell r="AN657">
            <v>2</v>
          </cell>
          <cell r="AO657">
            <v>2</v>
          </cell>
          <cell r="AP657">
            <v>1.903225806451613</v>
          </cell>
          <cell r="AQ657">
            <v>1.7333333333333334</v>
          </cell>
          <cell r="AR657">
            <v>2</v>
          </cell>
          <cell r="AS657">
            <v>2.2000000000000002</v>
          </cell>
          <cell r="AT657">
            <v>2</v>
          </cell>
          <cell r="AU657">
            <v>2</v>
          </cell>
          <cell r="AV657">
            <v>1.8571428571428572</v>
          </cell>
          <cell r="AW657">
            <v>2</v>
          </cell>
          <cell r="AX657">
            <v>2</v>
          </cell>
          <cell r="AY657">
            <v>2</v>
          </cell>
          <cell r="AZ657">
            <v>1</v>
          </cell>
        </row>
      </sheetData>
      <sheetData sheetId="10"/>
      <sheetData sheetId="11"/>
      <sheetData sheetId="12"/>
      <sheetData sheetId="13"/>
      <sheetData sheetId="14">
        <row r="2">
          <cell r="A2" t="str">
            <v>Bay State CS / Plymouth / 475 State</v>
          </cell>
        </row>
        <row r="3">
          <cell r="A3" t="str">
            <v>Bay State CS / S.Weymouth/ 911 Main</v>
          </cell>
        </row>
        <row r="4">
          <cell r="A4" t="str">
            <v>Brandon/Natick/27Winter St</v>
          </cell>
        </row>
        <row r="5">
          <cell r="A5" t="str">
            <v>Caritas St Mary's /Dorch /90Cushing</v>
          </cell>
        </row>
        <row r="6">
          <cell r="A6" t="str">
            <v>CFP / Dorchester / 31 Athelwold St</v>
          </cell>
        </row>
        <row r="7">
          <cell r="A7" t="str">
            <v>Community Care/S.Attleboro/543Newpo</v>
          </cell>
        </row>
        <row r="8">
          <cell r="A8" t="str">
            <v>EliotCommunityHS / Waltham/ 130Dale</v>
          </cell>
        </row>
        <row r="9">
          <cell r="A9" t="str">
            <v>EliotCommunityHS/Arling/734-736Mass</v>
          </cell>
        </row>
        <row r="10">
          <cell r="A10" t="str">
            <v>EliotCommunityHS/Dedham/20Harvey</v>
          </cell>
        </row>
        <row r="11">
          <cell r="A11" t="str">
            <v>EliotCommunityHS/JamPlain/281HydePk</v>
          </cell>
        </row>
        <row r="12">
          <cell r="A12" t="str">
            <v>EliotCommunityHS/Lynn/12OrchardSt</v>
          </cell>
        </row>
        <row r="13">
          <cell r="A13" t="str">
            <v>EliotCommunityHS/Medford/159Allston</v>
          </cell>
        </row>
        <row r="14">
          <cell r="A14" t="str">
            <v>EliotCommunityHS/NewBedford/163Coun</v>
          </cell>
        </row>
        <row r="15">
          <cell r="A15" t="str">
            <v>EliotCommunityHS/Wakefield/18 Lafay</v>
          </cell>
        </row>
        <row r="16">
          <cell r="A16" t="str">
            <v>Gandara / Greenfield / 107 Conway</v>
          </cell>
        </row>
        <row r="17">
          <cell r="A17" t="str">
            <v>Gandara / Holyoke / 27-29 Canby St</v>
          </cell>
        </row>
        <row r="18">
          <cell r="A18" t="str">
            <v>Gandara / Springfield / 25 Moorland</v>
          </cell>
        </row>
        <row r="19">
          <cell r="A19" t="str">
            <v>Gandara / Springfield / 353 MapleSt</v>
          </cell>
        </row>
        <row r="20">
          <cell r="A20" t="str">
            <v>GermaineLawrence/Arlington/18Clarem</v>
          </cell>
        </row>
        <row r="21">
          <cell r="A21" t="str">
            <v>Harbor Schools/ Merrimac /100W.Main</v>
          </cell>
        </row>
        <row r="22">
          <cell r="A22" t="str">
            <v>HES / Beverly / 6 Echo Ave.</v>
          </cell>
        </row>
        <row r="23">
          <cell r="A23" t="str">
            <v>HES / Haverhill / 8-10 Howard St</v>
          </cell>
        </row>
        <row r="24">
          <cell r="A24" t="str">
            <v>HES / Salem / 39 1/2 Mason St</v>
          </cell>
        </row>
        <row r="25">
          <cell r="A25" t="str">
            <v>ItalianHome/E. Freetown/9PinewoodCt</v>
          </cell>
        </row>
        <row r="26">
          <cell r="A26" t="str">
            <v>ItalianHome/JamPl/1125CentreSt</v>
          </cell>
        </row>
        <row r="27">
          <cell r="A27" t="str">
            <v>Key / Fall River / 62 County St</v>
          </cell>
        </row>
        <row r="28">
          <cell r="A28" t="str">
            <v>Key / Methuen / 175 Lowell St</v>
          </cell>
        </row>
        <row r="29">
          <cell r="A29" t="str">
            <v>Key / Methuen / 19 Mystic St</v>
          </cell>
        </row>
        <row r="30">
          <cell r="A30" t="str">
            <v>Key / Pittsfield / 369 West St</v>
          </cell>
        </row>
        <row r="31">
          <cell r="A31" t="str">
            <v>Key / Worcester / 2 Norton St</v>
          </cell>
        </row>
        <row r="32">
          <cell r="A32" t="str">
            <v>LUK / Fitchburg / 101 South St</v>
          </cell>
        </row>
        <row r="33">
          <cell r="A33" t="str">
            <v>LUK / Fitchburg / 102 Day Street</v>
          </cell>
        </row>
        <row r="34">
          <cell r="A34" t="str">
            <v>LUK / Fitchburg / 27 Myrtle Ave</v>
          </cell>
        </row>
        <row r="35">
          <cell r="A35" t="str">
            <v>LUK / Fitchburg / 846 Westminster</v>
          </cell>
        </row>
        <row r="36">
          <cell r="A36" t="str">
            <v>NFI / Arlington /23 Maple St</v>
          </cell>
        </row>
        <row r="37">
          <cell r="A37" t="str">
            <v>Old Colony Y/Brockton/917R Montello</v>
          </cell>
        </row>
        <row r="38">
          <cell r="A38" t="str">
            <v>Old Colony Y/Fall River/199 N. Main</v>
          </cell>
        </row>
        <row r="39">
          <cell r="A39" t="str">
            <v>Old Colony Y/NewBedford/106 bullard</v>
          </cell>
        </row>
        <row r="40">
          <cell r="A40" t="str">
            <v>RFK / Lancaster / 220 Old Common</v>
          </cell>
        </row>
        <row r="41">
          <cell r="A41" t="str">
            <v>RFK / S.Yarmouth / 137 Run Pond</v>
          </cell>
        </row>
        <row r="42">
          <cell r="A42" t="str">
            <v>SPIN / Lynn / 50 Newhall Street</v>
          </cell>
        </row>
        <row r="43">
          <cell r="A43" t="str">
            <v>St Vincent's/FallRiver/2425Highland</v>
          </cell>
        </row>
        <row r="44">
          <cell r="A44" t="str">
            <v>TeamCoord / Bradford / 4 S. Kimball</v>
          </cell>
        </row>
        <row r="45">
          <cell r="A45" t="str">
            <v>TeamCoord / Haverhill / 20NewcombSt</v>
          </cell>
        </row>
        <row r="46">
          <cell r="A46" t="str">
            <v>TeamCoord/Wilmington/82HighSt</v>
          </cell>
        </row>
        <row r="47">
          <cell r="A47" t="str">
            <v>TheHome for LW/Walpole/399Lincoln</v>
          </cell>
        </row>
        <row r="48">
          <cell r="A48" t="str">
            <v>Wayside/Framingham/1FredrickAbbotWy</v>
          </cell>
        </row>
        <row r="49">
          <cell r="A49" t="str">
            <v>Wayside/Framingham/85Edgell Rd</v>
          </cell>
        </row>
        <row r="50">
          <cell r="A50" t="str">
            <v>Wayside/Framingham/98DennisonAve</v>
          </cell>
        </row>
        <row r="51">
          <cell r="A51" t="str">
            <v>Wayside/Waltham/558WaverleyOaksRd</v>
          </cell>
        </row>
        <row r="52">
          <cell r="A52" t="str">
            <v>YOU / Boylston / 1 Elmwood Place</v>
          </cell>
        </row>
        <row r="53">
          <cell r="A53" t="str">
            <v>YOU / Worcester / 37 Boylston</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2022 BLS SALARY CHART (53_PCT)"/>
      <sheetName val="M2021 BLS  SALARY CHART Median"/>
      <sheetName val="Sheet1"/>
      <sheetName val="M2021 all details"/>
      <sheetName val="DC  CNA  DC III"/>
      <sheetName val="Case Social Worker.Manager"/>
      <sheetName val="Clinical"/>
      <sheetName val="Nursing"/>
      <sheetName val="Management"/>
      <sheetName val="Therapies"/>
      <sheetName val="M2022 53_PCT"/>
    </sheetNames>
    <sheetDataSet>
      <sheetData sheetId="0"/>
      <sheetData sheetId="1"/>
      <sheetData sheetId="2"/>
      <sheetData sheetId="3"/>
      <sheetData sheetId="4">
        <row r="11">
          <cell r="I11">
            <v>19.121599999999997</v>
          </cell>
          <cell r="J11">
            <v>39772.927999999993</v>
          </cell>
        </row>
        <row r="19">
          <cell r="I19">
            <v>25.580080000000002</v>
          </cell>
        </row>
      </sheetData>
      <sheetData sheetId="5">
        <row r="4">
          <cell r="J4">
            <v>28.180799999999998</v>
          </cell>
        </row>
        <row r="11">
          <cell r="J11">
            <v>30.9283</v>
          </cell>
        </row>
      </sheetData>
      <sheetData sheetId="6">
        <row r="6">
          <cell r="J6">
            <v>38.753100000000003</v>
          </cell>
        </row>
        <row r="12">
          <cell r="J12">
            <v>48.742200000000004</v>
          </cell>
        </row>
      </sheetData>
      <sheetData sheetId="7">
        <row r="2">
          <cell r="J2">
            <v>31.575200000000002</v>
          </cell>
        </row>
        <row r="6">
          <cell r="J6">
            <v>49.162799999999997</v>
          </cell>
        </row>
        <row r="11">
          <cell r="J11">
            <v>65.162400000000005</v>
          </cell>
        </row>
      </sheetData>
      <sheetData sheetId="8">
        <row r="2">
          <cell r="J2">
            <v>38.180400000000006</v>
          </cell>
        </row>
      </sheetData>
      <sheetData sheetId="9">
        <row r="2">
          <cell r="M2">
            <v>32.740400000000001</v>
          </cell>
        </row>
        <row r="8">
          <cell r="M8">
            <v>38.017499999999998</v>
          </cell>
        </row>
        <row r="14">
          <cell r="M14">
            <v>41.25168</v>
          </cell>
        </row>
        <row r="18">
          <cell r="M18">
            <v>42.756720000000001</v>
          </cell>
        </row>
      </sheetData>
      <sheetData sheetId="10">
        <row r="33">
          <cell r="N33">
            <v>135424.64000000001</v>
          </cell>
        </row>
        <row r="34">
          <cell r="N34">
            <v>40890.303999999996</v>
          </cell>
        </row>
        <row r="35">
          <cell r="N35">
            <v>62490.688000000002</v>
          </cell>
        </row>
        <row r="36">
          <cell r="N36">
            <v>51538.240000000005</v>
          </cell>
        </row>
        <row r="37">
          <cell r="N37">
            <v>50652.160000000003</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2020 BLS  SALARY CHART"/>
      <sheetName val="Sheet1"/>
      <sheetName val="DC  CNA  DC III"/>
      <sheetName val="Case Social Worker.Manager"/>
      <sheetName val="Clinical"/>
      <sheetName val="Nursing"/>
      <sheetName val="Management"/>
      <sheetName val="Therapies"/>
    </sheetNames>
    <sheetDataSet>
      <sheetData sheetId="0"/>
      <sheetData sheetId="1">
        <row r="303">
          <cell r="G303">
            <v>129960</v>
          </cell>
        </row>
      </sheetData>
      <sheetData sheetId="2">
        <row r="6">
          <cell r="G6">
            <v>18.72</v>
          </cell>
        </row>
        <row r="10">
          <cell r="G10">
            <v>17.97</v>
          </cell>
        </row>
        <row r="19">
          <cell r="G19">
            <v>23.416</v>
          </cell>
        </row>
      </sheetData>
      <sheetData sheetId="3">
        <row r="4">
          <cell r="G4">
            <v>23.67</v>
          </cell>
        </row>
        <row r="11">
          <cell r="G11">
            <v>28.444999999999997</v>
          </cell>
        </row>
      </sheetData>
      <sheetData sheetId="4">
        <row r="6">
          <cell r="G6">
            <v>34.2425</v>
          </cell>
        </row>
        <row r="12">
          <cell r="G12">
            <v>42.14</v>
          </cell>
        </row>
      </sheetData>
      <sheetData sheetId="5">
        <row r="2">
          <cell r="G2">
            <v>28.94</v>
          </cell>
        </row>
        <row r="6">
          <cell r="G6">
            <v>45.65</v>
          </cell>
        </row>
        <row r="11">
          <cell r="G11">
            <v>61.62</v>
          </cell>
        </row>
      </sheetData>
      <sheetData sheetId="6">
        <row r="2">
          <cell r="G2">
            <v>34.61</v>
          </cell>
          <cell r="H2">
            <v>72000</v>
          </cell>
        </row>
      </sheetData>
      <sheetData sheetId="7">
        <row r="2">
          <cell r="E2">
            <v>30</v>
          </cell>
        </row>
        <row r="8">
          <cell r="E8">
            <v>37.730000000000004</v>
          </cell>
        </row>
        <row r="14">
          <cell r="E14">
            <v>39.756</v>
          </cell>
        </row>
        <row r="18">
          <cell r="E18">
            <v>42.274000000000001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Util by Contract &amp; Month"/>
      <sheetName val="Util by Claimability, Contr, Mo"/>
      <sheetName val="Util by Month &amp; Attend Code"/>
      <sheetName val="Tech Stuff"/>
    </sheetNames>
    <sheetDataSet>
      <sheetData sheetId="0"/>
      <sheetData sheetId="1"/>
      <sheetData sheetId="2"/>
      <sheetData sheetId="3"/>
      <sheetData sheetId="4">
        <row r="4">
          <cell r="E4" t="str">
            <v xml:space="preserve">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ennProject"/>
      <sheetName val="Rates"/>
      <sheetName val="Descriptions"/>
      <sheetName val="OP Counseling0713"/>
      <sheetName val="Family &amp; Group 0717"/>
      <sheetName val="DayTxMulti Models"/>
      <sheetName val="DayTx 1209"/>
      <sheetName val="DayTx 0717"/>
      <sheetName val="Rec Coaching0713"/>
      <sheetName val="PsychoEd 0713"/>
      <sheetName val="Telephone0717"/>
      <sheetName val="In-Home Therapy"/>
      <sheetName val="acupuncture"/>
      <sheetName val="Sxn35_031813"/>
      <sheetName val="ad_data"/>
      <sheetName val="For Memo"/>
      <sheetName val="Hours0413"/>
      <sheetName val="Spring13CAF"/>
      <sheetName val="DCI &amp;II"/>
      <sheetName val="Support3385FY11"/>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USE!"/>
      <sheetName val="CAF1012"/>
      <sheetName val="Category Detail"/>
      <sheetName val="Admin3385"/>
      <sheetName val="AdminALL"/>
      <sheetName val="medical FTE3385"/>
      <sheetName val="medicalALL"/>
      <sheetName val="SupportALL"/>
      <sheetName val="prog mgmtALL"/>
      <sheetName val="prog mgmt3385"/>
      <sheetName val="Occ3385"/>
      <sheetName val="OtherDC3385"/>
      <sheetName val="OtherProgExp3385"/>
      <sheetName val="Clean3397"/>
      <sheetName val="Clean ALL"/>
      <sheetName val="RawDataCalcs"/>
      <sheetName val="Spring12CAF"/>
      <sheetName val="for pres"/>
      <sheetName val="Source"/>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69">
          <cell r="L69">
            <v>0</v>
          </cell>
        </row>
        <row r="70">
          <cell r="L70">
            <v>138.34594029064516</v>
          </cell>
          <cell r="M70">
            <v>1.6121217240410697</v>
          </cell>
          <cell r="N70">
            <v>5.4201934845606958</v>
          </cell>
          <cell r="O70">
            <v>5.6051310381454744</v>
          </cell>
          <cell r="P70">
            <v>23.436665346994968</v>
          </cell>
          <cell r="Q70">
            <v>0.92053721849469439</v>
          </cell>
          <cell r="R70">
            <v>11.59497914093591</v>
          </cell>
          <cell r="S70">
            <v>8.4116592125473808</v>
          </cell>
          <cell r="T70">
            <v>0.46671774746888461</v>
          </cell>
          <cell r="U70">
            <v>3.9338161659253364E-2</v>
          </cell>
          <cell r="V70">
            <v>0.58271691190153574</v>
          </cell>
          <cell r="W70">
            <v>0</v>
          </cell>
          <cell r="X70">
            <v>0.413026454258828</v>
          </cell>
          <cell r="Y70">
            <v>0.38527440192993595</v>
          </cell>
          <cell r="Z70">
            <v>104140.81014276663</v>
          </cell>
          <cell r="AA70">
            <v>119850.46256141673</v>
          </cell>
          <cell r="AB70">
            <v>75365.537857882664</v>
          </cell>
          <cell r="AC70">
            <v>87713.345102379797</v>
          </cell>
          <cell r="AD70">
            <v>274645.34062789753</v>
          </cell>
          <cell r="AE70">
            <v>121952.79082577181</v>
          </cell>
          <cell r="AF70">
            <v>154328.03077759975</v>
          </cell>
          <cell r="AG70">
            <v>136602.72124390997</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89473.942823657431</v>
          </cell>
          <cell r="BB70">
            <v>44612.240694392625</v>
          </cell>
          <cell r="BC70">
            <v>64756.115162231254</v>
          </cell>
          <cell r="BD70">
            <v>106328.730294454</v>
          </cell>
          <cell r="BE70">
            <v>50740.864225570673</v>
          </cell>
          <cell r="BF70">
            <v>59950.457068107869</v>
          </cell>
          <cell r="BG70">
            <v>54804.33860692798</v>
          </cell>
          <cell r="BH70">
            <v>46138.069908205027</v>
          </cell>
          <cell r="BI70">
            <v>61613.675135025253</v>
          </cell>
          <cell r="BJ70">
            <v>0</v>
          </cell>
          <cell r="BK70">
            <v>0</v>
          </cell>
          <cell r="BL70">
            <v>72575.347538446978</v>
          </cell>
          <cell r="BM70">
            <v>45583.045099364717</v>
          </cell>
          <cell r="BN70">
            <v>101647.49540813078</v>
          </cell>
          <cell r="BO70">
            <v>230643.84677380655</v>
          </cell>
          <cell r="BP70">
            <v>78869.379225986195</v>
          </cell>
          <cell r="BQ70">
            <v>86360.302370659803</v>
          </cell>
          <cell r="BR70">
            <v>77554.0591949628</v>
          </cell>
          <cell r="BS70">
            <v>48543.721681209252</v>
          </cell>
          <cell r="BT70">
            <v>401174.62449437141</v>
          </cell>
          <cell r="BU70">
            <v>0.36734300679566534</v>
          </cell>
          <cell r="BV70">
            <v>39854.580999063852</v>
          </cell>
          <cell r="BW70">
            <v>397460.95524425292</v>
          </cell>
          <cell r="BX70">
            <v>220929.03675012017</v>
          </cell>
          <cell r="BY70">
            <v>73116.746399449621</v>
          </cell>
          <cell r="BZ70">
            <v>426731.08874848648</v>
          </cell>
          <cell r="CA70">
            <v>0</v>
          </cell>
          <cell r="CB70">
            <v>0.3754633001969977</v>
          </cell>
          <cell r="CC70">
            <v>326853.12352586945</v>
          </cell>
          <cell r="CD70">
            <v>731946.13492775045</v>
          </cell>
          <cell r="CE70">
            <v>1081621.3826737017</v>
          </cell>
          <cell r="CF70">
            <v>38284.146059391795</v>
          </cell>
          <cell r="CG70">
            <v>492556.26564952999</v>
          </cell>
          <cell r="CH70">
            <v>251715.22154656344</v>
          </cell>
          <cell r="CI70">
            <v>1847772.4943053746</v>
          </cell>
          <cell r="CJ70">
            <v>397460.95524425292</v>
          </cell>
          <cell r="CK70">
            <v>293560.85875181464</v>
          </cell>
          <cell r="CL70">
            <v>73116.746399449621</v>
          </cell>
          <cell r="CM70">
            <v>132008.85730024381</v>
          </cell>
          <cell r="CN70">
            <v>426731.08874848648</v>
          </cell>
          <cell r="CO70">
            <v>2970080.5789479301</v>
          </cell>
          <cell r="CP70">
            <v>0.80537059546179424</v>
          </cell>
          <cell r="CQ70">
            <v>0.37093975763931697</v>
          </cell>
          <cell r="CR70">
            <v>0.20574269547048349</v>
          </cell>
          <cell r="CS70">
            <v>8.3526124092440091E-2</v>
          </cell>
          <cell r="CT70">
            <v>0.11034676620508195</v>
          </cell>
          <cell r="CU70">
            <v>0.30130144809040948</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ennProject"/>
      <sheetName val="Rates"/>
      <sheetName val="Descriptions"/>
      <sheetName val="OP Counseling0713"/>
      <sheetName val="Family &amp; Group 0717"/>
      <sheetName val="DayTxMulti Models"/>
      <sheetName val="DayTx 1209"/>
      <sheetName val="DayTx 0717"/>
      <sheetName val="Rec Coaching0713"/>
      <sheetName val="PsychoEd 0713"/>
      <sheetName val="Telephone0717"/>
      <sheetName val="In-Home Therapy"/>
      <sheetName val="acupuncture"/>
      <sheetName val="Sxn35_031813"/>
      <sheetName val="ad_data"/>
      <sheetName val="For Memo"/>
      <sheetName val="Hours0413"/>
      <sheetName val="Spring13CAF"/>
      <sheetName val="DCI &amp;II"/>
      <sheetName val="Support3385FY11"/>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USE!"/>
      <sheetName val="CAF1012"/>
      <sheetName val="Category Detail"/>
      <sheetName val="Admin3385"/>
      <sheetName val="AdminALL"/>
      <sheetName val="medical FTE3385"/>
      <sheetName val="medicalALL"/>
      <sheetName val="SupportALL"/>
      <sheetName val="prog mgmtALL"/>
      <sheetName val="prog mgmt3385"/>
      <sheetName val="Occ3385"/>
      <sheetName val="OtherDC3385"/>
      <sheetName val="OtherProgExp3385"/>
      <sheetName val="Clean3397"/>
      <sheetName val="Clean ALL"/>
      <sheetName val="RawDataCalcs"/>
      <sheetName val="Spring12CAF"/>
      <sheetName val="for pres"/>
      <sheetName val="Source"/>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69">
          <cell r="L69">
            <v>0</v>
          </cell>
        </row>
        <row r="70">
          <cell r="L70">
            <v>138.34594029064516</v>
          </cell>
          <cell r="M70">
            <v>1.6121217240410697</v>
          </cell>
          <cell r="N70">
            <v>5.4201934845606958</v>
          </cell>
          <cell r="O70">
            <v>5.6051310381454744</v>
          </cell>
          <cell r="P70">
            <v>23.436665346994968</v>
          </cell>
          <cell r="Q70">
            <v>0.92053721849469439</v>
          </cell>
          <cell r="R70">
            <v>11.59497914093591</v>
          </cell>
          <cell r="S70">
            <v>8.4116592125473808</v>
          </cell>
          <cell r="T70">
            <v>0.46671774746888461</v>
          </cell>
          <cell r="U70">
            <v>3.9338161659253364E-2</v>
          </cell>
          <cell r="V70">
            <v>0.58271691190153574</v>
          </cell>
          <cell r="W70">
            <v>0</v>
          </cell>
          <cell r="X70">
            <v>0.413026454258828</v>
          </cell>
          <cell r="Y70">
            <v>0.38527440192993595</v>
          </cell>
          <cell r="Z70">
            <v>104140.81014276663</v>
          </cell>
          <cell r="AA70">
            <v>119850.46256141673</v>
          </cell>
          <cell r="AB70">
            <v>75365.537857882664</v>
          </cell>
          <cell r="AC70">
            <v>87713.345102379797</v>
          </cell>
          <cell r="AD70">
            <v>274645.34062789753</v>
          </cell>
          <cell r="AE70">
            <v>121952.79082577181</v>
          </cell>
          <cell r="AF70">
            <v>154328.03077759975</v>
          </cell>
          <cell r="AG70">
            <v>136602.72124390997</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89473.942823657431</v>
          </cell>
          <cell r="BB70">
            <v>44612.240694392625</v>
          </cell>
          <cell r="BC70">
            <v>64756.115162231254</v>
          </cell>
          <cell r="BD70">
            <v>106328.730294454</v>
          </cell>
          <cell r="BE70">
            <v>50740.864225570673</v>
          </cell>
          <cell r="BF70">
            <v>59950.457068107869</v>
          </cell>
          <cell r="BG70">
            <v>54804.33860692798</v>
          </cell>
          <cell r="BH70">
            <v>46138.069908205027</v>
          </cell>
          <cell r="BI70">
            <v>61613.675135025253</v>
          </cell>
          <cell r="BJ70">
            <v>0</v>
          </cell>
          <cell r="BK70">
            <v>0</v>
          </cell>
          <cell r="BL70">
            <v>72575.347538446978</v>
          </cell>
          <cell r="BM70">
            <v>45583.045099364717</v>
          </cell>
          <cell r="BN70">
            <v>101647.49540813078</v>
          </cell>
          <cell r="BO70">
            <v>230643.84677380655</v>
          </cell>
          <cell r="BP70">
            <v>78869.379225986195</v>
          </cell>
          <cell r="BQ70">
            <v>86360.302370659803</v>
          </cell>
          <cell r="BR70">
            <v>77554.0591949628</v>
          </cell>
          <cell r="BS70">
            <v>48543.721681209252</v>
          </cell>
          <cell r="BT70">
            <v>401174.62449437141</v>
          </cell>
          <cell r="BU70">
            <v>0.36734300679566534</v>
          </cell>
          <cell r="BV70">
            <v>39854.580999063852</v>
          </cell>
          <cell r="BW70">
            <v>397460.95524425292</v>
          </cell>
          <cell r="BX70">
            <v>220929.03675012017</v>
          </cell>
          <cell r="BY70">
            <v>73116.746399449621</v>
          </cell>
          <cell r="BZ70">
            <v>426731.08874848648</v>
          </cell>
          <cell r="CA70">
            <v>0</v>
          </cell>
          <cell r="CB70">
            <v>0.3754633001969977</v>
          </cell>
          <cell r="CC70">
            <v>326853.12352586945</v>
          </cell>
          <cell r="CD70">
            <v>731946.13492775045</v>
          </cell>
          <cell r="CE70">
            <v>1081621.3826737017</v>
          </cell>
          <cell r="CF70">
            <v>38284.146059391795</v>
          </cell>
          <cell r="CG70">
            <v>492556.26564952999</v>
          </cell>
          <cell r="CH70">
            <v>251715.22154656344</v>
          </cell>
          <cell r="CI70">
            <v>1847772.4943053746</v>
          </cell>
          <cell r="CJ70">
            <v>397460.95524425292</v>
          </cell>
          <cell r="CK70">
            <v>293560.85875181464</v>
          </cell>
          <cell r="CL70">
            <v>73116.746399449621</v>
          </cell>
          <cell r="CM70">
            <v>132008.85730024381</v>
          </cell>
          <cell r="CN70">
            <v>426731.08874848648</v>
          </cell>
          <cell r="CO70">
            <v>2970080.5789479301</v>
          </cell>
          <cell r="CP70">
            <v>0.80537059546179424</v>
          </cell>
          <cell r="CQ70">
            <v>0.37093975763931697</v>
          </cell>
          <cell r="CR70">
            <v>0.20574269547048349</v>
          </cell>
          <cell r="CS70">
            <v>8.3526124092440091E-2</v>
          </cell>
          <cell r="CT70">
            <v>0.11034676620508195</v>
          </cell>
          <cell r="CU70">
            <v>0.30130144809040948</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DataCalcs"/>
      <sheetName val="Models OPC031813"/>
      <sheetName val="Family &amp; Group 031813"/>
      <sheetName val="Sxn35_031813"/>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DCI &amp;II"/>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1012"/>
      <sheetName val="Category Detail"/>
      <sheetName val="Admin3385"/>
      <sheetName val="AdminALL"/>
      <sheetName val="medical FTE3385"/>
      <sheetName val="medicalALL"/>
      <sheetName val="SupportALL"/>
      <sheetName val="Support3385"/>
      <sheetName val="prog mgmtALL"/>
      <sheetName val="prog mgmt3385"/>
      <sheetName val="Occ3385"/>
      <sheetName val="OtherDC3385"/>
      <sheetName val="OtherProgExp3385"/>
      <sheetName val="Clean3397"/>
      <sheetName val="Clean ALL"/>
      <sheetName val="new CAF"/>
      <sheetName val="for pres"/>
      <sheetName val="Source"/>
      <sheetName val="Sheet1"/>
      <sheetName val="Sheet2"/>
      <sheetName val="Sheet3"/>
    </sheetNames>
    <sheetDataSet>
      <sheetData sheetId="0">
        <row r="69">
          <cell r="L69">
            <v>0</v>
          </cell>
          <cell r="M69">
            <v>0</v>
          </cell>
          <cell r="N69">
            <v>0</v>
          </cell>
          <cell r="O69">
            <v>0</v>
          </cell>
          <cell r="P69">
            <v>0</v>
          </cell>
          <cell r="Q69">
            <v>0</v>
          </cell>
          <cell r="R69">
            <v>0</v>
          </cell>
          <cell r="S69">
            <v>0</v>
          </cell>
          <cell r="T69">
            <v>0</v>
          </cell>
          <cell r="U69">
            <v>0</v>
          </cell>
          <cell r="V69">
            <v>0</v>
          </cell>
          <cell r="W69">
            <v>0</v>
          </cell>
          <cell r="X69">
            <v>0</v>
          </cell>
          <cell r="Y69">
            <v>0</v>
          </cell>
          <cell r="Z69">
            <v>31254.922841553554</v>
          </cell>
          <cell r="AA69">
            <v>33105.937943376768</v>
          </cell>
          <cell r="AB69">
            <v>20741.307122210026</v>
          </cell>
          <cell r="AC69">
            <v>25113.779210245128</v>
          </cell>
          <cell r="AD69">
            <v>88786.823580613331</v>
          </cell>
          <cell r="AE69">
            <v>62810.713447732443</v>
          </cell>
          <cell r="AF69">
            <v>40956.196976734464</v>
          </cell>
          <cell r="AG69">
            <v>17680</v>
          </cell>
          <cell r="AH69">
            <v>25681.000758506118</v>
          </cell>
          <cell r="AI69">
            <v>0</v>
          </cell>
          <cell r="AJ69">
            <v>0</v>
          </cell>
          <cell r="AK69">
            <v>0</v>
          </cell>
          <cell r="AL69">
            <v>0</v>
          </cell>
          <cell r="AM69">
            <v>0</v>
          </cell>
          <cell r="AN69">
            <v>0</v>
          </cell>
          <cell r="AO69">
            <v>0</v>
          </cell>
          <cell r="AP69">
            <v>0</v>
          </cell>
          <cell r="AQ69">
            <v>0</v>
          </cell>
          <cell r="AR69">
            <v>0</v>
          </cell>
          <cell r="AS69">
            <v>0</v>
          </cell>
          <cell r="AT69">
            <v>37793.970923453351</v>
          </cell>
          <cell r="AU69">
            <v>20099.452159556731</v>
          </cell>
          <cell r="AV69">
            <v>20286.405563557739</v>
          </cell>
          <cell r="AW69">
            <v>17680</v>
          </cell>
          <cell r="AX69">
            <v>17680</v>
          </cell>
          <cell r="AY69">
            <v>0</v>
          </cell>
          <cell r="AZ69">
            <v>17680</v>
          </cell>
          <cell r="BA69">
            <v>17680</v>
          </cell>
          <cell r="BB69">
            <v>33977.415363675485</v>
          </cell>
          <cell r="BC69">
            <v>17680</v>
          </cell>
          <cell r="BD69">
            <v>17680</v>
          </cell>
          <cell r="BE69">
            <v>30167.461826569073</v>
          </cell>
          <cell r="BF69">
            <v>17680</v>
          </cell>
          <cell r="BG69">
            <v>17680</v>
          </cell>
          <cell r="BH69">
            <v>17680</v>
          </cell>
          <cell r="BI69">
            <v>17680</v>
          </cell>
          <cell r="BJ69">
            <v>0</v>
          </cell>
          <cell r="BK69">
            <v>0</v>
          </cell>
          <cell r="BL69">
            <v>21250.045125851197</v>
          </cell>
          <cell r="BM69">
            <v>17680</v>
          </cell>
          <cell r="BN69">
            <v>35930.97602494889</v>
          </cell>
          <cell r="BO69">
            <v>17680</v>
          </cell>
          <cell r="BP69">
            <v>22322.199991457768</v>
          </cell>
          <cell r="BQ69">
            <v>20275.023061164669</v>
          </cell>
          <cell r="BR69">
            <v>17680</v>
          </cell>
          <cell r="BS69">
            <v>17680</v>
          </cell>
          <cell r="BT69">
            <v>-194223.15407576266</v>
          </cell>
          <cell r="BU69">
            <v>3.9224062254462094E-2</v>
          </cell>
          <cell r="BV69">
            <v>-19524.116453252951</v>
          </cell>
          <cell r="BW69">
            <v>-194535.86717894004</v>
          </cell>
          <cell r="BX69">
            <v>-95994.996520439629</v>
          </cell>
          <cell r="BY69">
            <v>-40211.35347342863</v>
          </cell>
          <cell r="BZ69">
            <v>-173811.76878527104</v>
          </cell>
          <cell r="CA69">
            <v>0</v>
          </cell>
          <cell r="CB69">
            <v>-5.0164293090607048E-2</v>
          </cell>
          <cell r="CC69">
            <v>-167041.88358041737</v>
          </cell>
          <cell r="CD69">
            <v>-426204.38478022406</v>
          </cell>
          <cell r="CE69">
            <v>-592175.48191499163</v>
          </cell>
          <cell r="CF69">
            <v>-18092.124466100388</v>
          </cell>
          <cell r="CG69">
            <v>-202133.05620748765</v>
          </cell>
          <cell r="CH69">
            <v>-93888.866422877749</v>
          </cell>
          <cell r="CI69">
            <v>-898471.45258220169</v>
          </cell>
          <cell r="CJ69">
            <v>-194535.86717894004</v>
          </cell>
          <cell r="CK69">
            <v>-143809.07008855077</v>
          </cell>
          <cell r="CL69">
            <v>-40211.35347342863</v>
          </cell>
          <cell r="CM69">
            <v>-65521.629016254272</v>
          </cell>
          <cell r="CN69">
            <v>-173811.76878527104</v>
          </cell>
          <cell r="CO69">
            <v>-1358636.8778598411</v>
          </cell>
          <cell r="CP69">
            <v>0.37547339478605335</v>
          </cell>
          <cell r="CQ69">
            <v>-0.10393756019323813</v>
          </cell>
          <cell r="CR69">
            <v>-2.8874890700291964E-2</v>
          </cell>
          <cell r="CS69">
            <v>-3.7678320803372217E-2</v>
          </cell>
          <cell r="CT69">
            <v>-2.5772778991081248E-2</v>
          </cell>
          <cell r="CU69">
            <v>-3.2345743847847497E-4</v>
          </cell>
          <cell r="CV69">
            <v>-79.526942030054457</v>
          </cell>
          <cell r="CW69">
            <v>-7.6406036602279794</v>
          </cell>
          <cell r="CX69">
            <v>-18.285188285733192</v>
          </cell>
          <cell r="CY69">
            <v>-5.4438574934901895</v>
          </cell>
          <cell r="CZ69">
            <v>-7.6767440812364649</v>
          </cell>
          <cell r="DA69">
            <v>-22.20634650407974</v>
          </cell>
          <cell r="DB69">
            <v>-132.13870694560796</v>
          </cell>
        </row>
        <row r="70">
          <cell r="L70">
            <v>138.34594029064516</v>
          </cell>
          <cell r="M70">
            <v>1.6121217240410697</v>
          </cell>
          <cell r="N70">
            <v>5.367883702073212</v>
          </cell>
          <cell r="O70">
            <v>5.5443017926485414</v>
          </cell>
          <cell r="P70">
            <v>23.436665346994968</v>
          </cell>
          <cell r="Q70">
            <v>0.92053721849469439</v>
          </cell>
          <cell r="R70">
            <v>11.491251469582075</v>
          </cell>
          <cell r="S70">
            <v>8.3369720157031253</v>
          </cell>
          <cell r="T70">
            <v>0.46671774746888461</v>
          </cell>
          <cell r="U70">
            <v>3.9338161659253364E-2</v>
          </cell>
          <cell r="V70">
            <v>0.58271691190153574</v>
          </cell>
          <cell r="W70">
            <v>0</v>
          </cell>
          <cell r="X70">
            <v>0.413026454258828</v>
          </cell>
          <cell r="Y70">
            <v>0.38527440192993595</v>
          </cell>
          <cell r="Z70">
            <v>104265.75261250997</v>
          </cell>
          <cell r="AA70">
            <v>119850.46256141673</v>
          </cell>
          <cell r="AB70">
            <v>75365.537857882664</v>
          </cell>
          <cell r="AC70">
            <v>87713.345102379797</v>
          </cell>
          <cell r="AD70">
            <v>274645.34062789753</v>
          </cell>
          <cell r="AE70">
            <v>121952.79082577181</v>
          </cell>
          <cell r="AF70">
            <v>156188.25202112697</v>
          </cell>
          <cell r="AG70">
            <v>131035.67054489572</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88734.403501087392</v>
          </cell>
          <cell r="BB70">
            <v>44612.240694392625</v>
          </cell>
          <cell r="BC70">
            <v>64756.115162231254</v>
          </cell>
          <cell r="BD70">
            <v>106328.730294454</v>
          </cell>
          <cell r="BE70">
            <v>50740.864225570673</v>
          </cell>
          <cell r="BF70">
            <v>59950.457068107869</v>
          </cell>
          <cell r="BG70">
            <v>54804.33860692798</v>
          </cell>
          <cell r="BH70">
            <v>45936.617400235766</v>
          </cell>
          <cell r="BI70">
            <v>61613.675135025253</v>
          </cell>
          <cell r="BJ70">
            <v>0</v>
          </cell>
          <cell r="BK70">
            <v>0</v>
          </cell>
          <cell r="BL70">
            <v>72317.924874135264</v>
          </cell>
          <cell r="BM70">
            <v>45583.045099364717</v>
          </cell>
          <cell r="BN70">
            <v>101748.99035154989</v>
          </cell>
          <cell r="BO70">
            <v>229416.87476371037</v>
          </cell>
          <cell r="BP70">
            <v>78869.379225986195</v>
          </cell>
          <cell r="BQ70">
            <v>86360.302370659803</v>
          </cell>
          <cell r="BR70">
            <v>77156.710228375523</v>
          </cell>
          <cell r="BS70">
            <v>48318.756121997882</v>
          </cell>
          <cell r="BT70">
            <v>398136.88321278704</v>
          </cell>
          <cell r="BU70">
            <v>0.36724114202935465</v>
          </cell>
          <cell r="BV70">
            <v>39854.580999063852</v>
          </cell>
          <cell r="BW70">
            <v>394450.1606676082</v>
          </cell>
          <cell r="BX70">
            <v>222860.81281305797</v>
          </cell>
          <cell r="BY70">
            <v>72569.642572709854</v>
          </cell>
          <cell r="BZ70">
            <v>427779.81149033637</v>
          </cell>
          <cell r="CA70">
            <v>0</v>
          </cell>
          <cell r="CB70">
            <v>0.40671704877585924</v>
          </cell>
          <cell r="CC70">
            <v>323721.81080892892</v>
          </cell>
          <cell r="CD70">
            <v>717868.8556900773</v>
          </cell>
          <cell r="CE70">
            <v>1081621.3826737017</v>
          </cell>
          <cell r="CF70">
            <v>38284.146059391795</v>
          </cell>
          <cell r="CG70">
            <v>488082.61516012525</v>
          </cell>
          <cell r="CH70">
            <v>249415.03043732973</v>
          </cell>
          <cell r="CI70">
            <v>1833618.6346573296</v>
          </cell>
          <cell r="CJ70">
            <v>394450.1606676082</v>
          </cell>
          <cell r="CK70">
            <v>291256.65648656304</v>
          </cell>
          <cell r="CL70">
            <v>72569.642572709854</v>
          </cell>
          <cell r="CM70">
            <v>130870.89572562612</v>
          </cell>
          <cell r="CN70">
            <v>427779.81149033637</v>
          </cell>
          <cell r="CO70">
            <v>2949096.2663998213</v>
          </cell>
          <cell r="CP70">
            <v>0.80827066017194205</v>
          </cell>
          <cell r="CQ70">
            <v>0.36850490579106859</v>
          </cell>
          <cell r="CR70">
            <v>0.20498011936487076</v>
          </cell>
          <cell r="CS70">
            <v>8.3014594940582179E-2</v>
          </cell>
          <cell r="CT70">
            <v>0.10988940111723</v>
          </cell>
          <cell r="CU70">
            <v>0.32042762106426059</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ow r="69">
          <cell r="L69">
            <v>0</v>
          </cell>
        </row>
      </sheetData>
      <sheetData sheetId="44"/>
      <sheetData sheetId="45"/>
      <sheetData sheetId="46"/>
      <sheetData sheetId="47"/>
      <sheetData sheetId="48"/>
      <sheetData sheetId="4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RateOptions"/>
      <sheetName val="GeogVar"/>
      <sheetName val="CostDrivers"/>
      <sheetName val="CostSummary"/>
      <sheetName val="CleanData"/>
      <sheetName val="RawDataCalcs"/>
      <sheetName val="CleanData (2)"/>
      <sheetName val="RawDataCalcs (2)"/>
      <sheetName val="Lookups"/>
      <sheetName val="Source"/>
      <sheetName val="Sheet1"/>
      <sheetName val="Transposed RawDataCalcs"/>
      <sheetName val="Transposed Clean Data"/>
      <sheetName val="Transposed Source"/>
      <sheetName val="Transposed RawDataCalcs &amp; Calcs"/>
    </sheetNames>
    <sheetDataSet>
      <sheetData sheetId="0"/>
      <sheetData sheetId="1"/>
      <sheetData sheetId="2"/>
      <sheetData sheetId="3"/>
      <sheetData sheetId="4"/>
      <sheetData sheetId="5"/>
      <sheetData sheetId="6">
        <row r="4">
          <cell r="A4" t="str">
            <v>Associates For Human Services Inc</v>
          </cell>
        </row>
        <row r="34">
          <cell r="L34">
            <v>0</v>
          </cell>
          <cell r="M34">
            <v>0.79029091117448558</v>
          </cell>
          <cell r="N34">
            <v>0</v>
          </cell>
          <cell r="O34">
            <v>0</v>
          </cell>
          <cell r="P34">
            <v>0</v>
          </cell>
          <cell r="Q34">
            <v>0</v>
          </cell>
          <cell r="R34">
            <v>0</v>
          </cell>
          <cell r="S34">
            <v>0</v>
          </cell>
          <cell r="T34">
            <v>0</v>
          </cell>
          <cell r="U34">
            <v>0</v>
          </cell>
          <cell r="V34">
            <v>0</v>
          </cell>
          <cell r="W34">
            <v>0</v>
          </cell>
          <cell r="X34">
            <v>0</v>
          </cell>
          <cell r="Y34">
            <v>0</v>
          </cell>
          <cell r="Z34">
            <v>46956.620119375693</v>
          </cell>
          <cell r="AA34">
            <v>17680</v>
          </cell>
          <cell r="AB34">
            <v>39867.641875293193</v>
          </cell>
          <cell r="AC34">
            <v>41031.086504828323</v>
          </cell>
          <cell r="AD34">
            <v>0</v>
          </cell>
          <cell r="AE34">
            <v>0</v>
          </cell>
          <cell r="AF34">
            <v>0</v>
          </cell>
          <cell r="AG34">
            <v>33944.118844784767</v>
          </cell>
          <cell r="AH34">
            <v>17680</v>
          </cell>
          <cell r="AI34">
            <v>0</v>
          </cell>
          <cell r="AJ34">
            <v>29753.902816591464</v>
          </cell>
          <cell r="AK34">
            <v>30930.825880294266</v>
          </cell>
          <cell r="AL34">
            <v>18569.0381892203</v>
          </cell>
          <cell r="AM34">
            <v>18442.473919768927</v>
          </cell>
          <cell r="AN34">
            <v>38606.161015285972</v>
          </cell>
          <cell r="AO34">
            <v>27075.185897627798</v>
          </cell>
          <cell r="AP34">
            <v>0</v>
          </cell>
          <cell r="AQ34">
            <v>0</v>
          </cell>
          <cell r="AR34">
            <v>0</v>
          </cell>
          <cell r="AS34">
            <v>20355.422680841988</v>
          </cell>
          <cell r="AT34">
            <v>71628.834700450796</v>
          </cell>
          <cell r="AU34">
            <v>20461.641675358544</v>
          </cell>
          <cell r="AV34">
            <v>21763.519947861987</v>
          </cell>
          <cell r="AW34">
            <v>30028.595208686409</v>
          </cell>
          <cell r="AX34">
            <v>20500.552365271986</v>
          </cell>
          <cell r="AY34">
            <v>0</v>
          </cell>
          <cell r="AZ34">
            <v>0</v>
          </cell>
          <cell r="BA34">
            <v>26069.349097187373</v>
          </cell>
          <cell r="BB34">
            <v>17680</v>
          </cell>
          <cell r="BC34">
            <v>27212.519009187054</v>
          </cell>
          <cell r="BD34">
            <v>41756.507202167428</v>
          </cell>
          <cell r="BE34">
            <v>28667.992486020263</v>
          </cell>
          <cell r="BF34">
            <v>19660.985016893599</v>
          </cell>
          <cell r="BG34">
            <v>17680</v>
          </cell>
          <cell r="BH34">
            <v>17680</v>
          </cell>
          <cell r="BI34">
            <v>17680</v>
          </cell>
          <cell r="BJ34">
            <v>0</v>
          </cell>
          <cell r="BK34">
            <v>0</v>
          </cell>
          <cell r="BL34">
            <v>37248.882698669069</v>
          </cell>
          <cell r="BM34">
            <v>17680</v>
          </cell>
          <cell r="BN34">
            <v>37585.774536606972</v>
          </cell>
          <cell r="BO34">
            <v>33596.29852940391</v>
          </cell>
          <cell r="BP34">
            <v>25417.773521214607</v>
          </cell>
          <cell r="BQ34">
            <v>30055.921442748004</v>
          </cell>
          <cell r="BR34">
            <v>21970.169720181879</v>
          </cell>
          <cell r="BS34">
            <v>17680</v>
          </cell>
          <cell r="BT34">
            <v>-1122614.5665450124</v>
          </cell>
          <cell r="BU34">
            <v>0.13027098074394894</v>
          </cell>
          <cell r="BV34">
            <v>-16766.898501709318</v>
          </cell>
          <cell r="BW34">
            <v>-1108530.6212166082</v>
          </cell>
          <cell r="BX34">
            <v>-1474513.4431397212</v>
          </cell>
          <cell r="BY34">
            <v>-359587.75471530249</v>
          </cell>
          <cell r="BZ34">
            <v>-675414.15673018876</v>
          </cell>
          <cell r="CA34">
            <v>-10318274.104858737</v>
          </cell>
          <cell r="CB34">
            <v>3.9667448114237239E-2</v>
          </cell>
          <cell r="CC34">
            <v>-354564.67376116331</v>
          </cell>
          <cell r="CD34">
            <v>-3143047.8255827245</v>
          </cell>
          <cell r="CE34">
            <v>-597214.63617941493</v>
          </cell>
          <cell r="CF34">
            <v>-629519.18501455639</v>
          </cell>
          <cell r="CG34">
            <v>-2933297.7765657566</v>
          </cell>
          <cell r="CH34">
            <v>-312958.42871704738</v>
          </cell>
          <cell r="CI34">
            <v>-6950335.2468438176</v>
          </cell>
          <cell r="CJ34">
            <v>-1108530.6212166082</v>
          </cell>
          <cell r="CK34">
            <v>-461138.95556240936</v>
          </cell>
          <cell r="CL34">
            <v>-359587.75471530249</v>
          </cell>
          <cell r="CM34">
            <v>-293888.7390341704</v>
          </cell>
          <cell r="CN34">
            <v>-675414.15673018876</v>
          </cell>
          <cell r="CO34">
            <v>-9523712.744866835</v>
          </cell>
          <cell r="CP34">
            <v>0.53755430053228481</v>
          </cell>
          <cell r="CQ34">
            <v>8.426975069624898E-2</v>
          </cell>
          <cell r="CR34">
            <v>-4.8713603045017345E-3</v>
          </cell>
          <cell r="CS34">
            <v>9.7952431306347933E-3</v>
          </cell>
          <cell r="CT34">
            <v>-3.9893498199197908E-2</v>
          </cell>
          <cell r="CU34">
            <v>3.8691458414040758E-2</v>
          </cell>
          <cell r="CV34">
            <v>5.6665121955921194</v>
          </cell>
          <cell r="CW34">
            <v>1.0474528769120166</v>
          </cell>
          <cell r="CX34">
            <v>-0.93418082786395029</v>
          </cell>
          <cell r="CY34">
            <v>-0.56422902479690396</v>
          </cell>
          <cell r="CZ34">
            <v>-0.51027554355606819</v>
          </cell>
          <cell r="DA34">
            <v>0.50401661976240408</v>
          </cell>
          <cell r="DB34">
            <v>9.2791732149199646</v>
          </cell>
        </row>
        <row r="35">
          <cell r="L35">
            <v>325.54527652063496</v>
          </cell>
          <cell r="M35">
            <v>1.145059670647806</v>
          </cell>
          <cell r="N35">
            <v>12.658929241568668</v>
          </cell>
          <cell r="O35">
            <v>95.943355157776523</v>
          </cell>
          <cell r="P35">
            <v>25.947712752140522</v>
          </cell>
          <cell r="Q35">
            <v>33.680418140703352</v>
          </cell>
          <cell r="R35">
            <v>117.98676225403045</v>
          </cell>
          <cell r="S35">
            <v>18.677306003027208</v>
          </cell>
          <cell r="T35">
            <v>4.0568192104597958E-2</v>
          </cell>
          <cell r="U35">
            <v>0.13171437587406293</v>
          </cell>
          <cell r="V35">
            <v>5.1755918785346619E-2</v>
          </cell>
          <cell r="W35">
            <v>0.16497859077952676</v>
          </cell>
          <cell r="X35">
            <v>0.2982878564398192</v>
          </cell>
          <cell r="Y35">
            <v>5.4787394269923656E-2</v>
          </cell>
          <cell r="Z35">
            <v>91413.434936079429</v>
          </cell>
          <cell r="AA35">
            <v>171213.94858211145</v>
          </cell>
          <cell r="AB35">
            <v>71268.467153171412</v>
          </cell>
          <cell r="AC35">
            <v>67499.431340421332</v>
          </cell>
          <cell r="AD35">
            <v>0</v>
          </cell>
          <cell r="AE35">
            <v>0</v>
          </cell>
          <cell r="AF35">
            <v>0</v>
          </cell>
          <cell r="AG35">
            <v>76170.539456675135</v>
          </cell>
          <cell r="AH35">
            <v>51194.094846967935</v>
          </cell>
          <cell r="AI35">
            <v>0</v>
          </cell>
          <cell r="AJ35">
            <v>96651.607294339352</v>
          </cell>
          <cell r="AK35">
            <v>103711.82144639676</v>
          </cell>
          <cell r="AL35">
            <v>108951.50925611406</v>
          </cell>
          <cell r="AM35">
            <v>124826.37579975859</v>
          </cell>
          <cell r="AN35">
            <v>56811.862618938139</v>
          </cell>
          <cell r="AO35">
            <v>55812.854748790807</v>
          </cell>
          <cell r="AP35">
            <v>0</v>
          </cell>
          <cell r="AQ35">
            <v>0</v>
          </cell>
          <cell r="AR35">
            <v>0</v>
          </cell>
          <cell r="AS35">
            <v>25027.576232617906</v>
          </cell>
          <cell r="AT35">
            <v>93184.103761087666</v>
          </cell>
          <cell r="AU35">
            <v>97525.123689390195</v>
          </cell>
          <cell r="AV35">
            <v>84456.375281292596</v>
          </cell>
          <cell r="AW35">
            <v>57934.015020761828</v>
          </cell>
          <cell r="AX35">
            <v>101633.94724195503</v>
          </cell>
          <cell r="AY35">
            <v>0</v>
          </cell>
          <cell r="AZ35">
            <v>0</v>
          </cell>
          <cell r="BA35">
            <v>66765.076206888509</v>
          </cell>
          <cell r="BB35">
            <v>97217.62868695044</v>
          </cell>
          <cell r="BC35">
            <v>54127.822372828719</v>
          </cell>
          <cell r="BD35">
            <v>61930.062581382372</v>
          </cell>
          <cell r="BE35">
            <v>62552.309754750124</v>
          </cell>
          <cell r="BF35">
            <v>61773.475248805931</v>
          </cell>
          <cell r="BG35">
            <v>57364.818493992512</v>
          </cell>
          <cell r="BH35">
            <v>61457.801192826271</v>
          </cell>
          <cell r="BI35">
            <v>59460.337150228035</v>
          </cell>
          <cell r="BJ35">
            <v>0</v>
          </cell>
          <cell r="BK35">
            <v>0</v>
          </cell>
          <cell r="BL35">
            <v>56935.273604014816</v>
          </cell>
          <cell r="BM35">
            <v>23906.767042588603</v>
          </cell>
          <cell r="BN35">
            <v>98552.058845081687</v>
          </cell>
          <cell r="BO35">
            <v>92467.250108432359</v>
          </cell>
          <cell r="BP35">
            <v>82220.484062892225</v>
          </cell>
          <cell r="BQ35">
            <v>56623.272837053592</v>
          </cell>
          <cell r="BR35">
            <v>55887.670848124704</v>
          </cell>
          <cell r="BS35">
            <v>51288.876636076719</v>
          </cell>
          <cell r="BT35">
            <v>2112574.116174642</v>
          </cell>
          <cell r="BU35">
            <v>0.25527956514613798</v>
          </cell>
          <cell r="BV35">
            <v>23380.416398015204</v>
          </cell>
          <cell r="BW35">
            <v>2091876.652949932</v>
          </cell>
          <cell r="BX35">
            <v>2741064.8572137947</v>
          </cell>
          <cell r="BY35">
            <v>635817.59101159882</v>
          </cell>
          <cell r="BZ35">
            <v>1513613.2335450135</v>
          </cell>
          <cell r="CA35">
            <v>18919408.888917986</v>
          </cell>
          <cell r="CB35">
            <v>0.19870561791457902</v>
          </cell>
          <cell r="CC35">
            <v>806865.11746486695</v>
          </cell>
          <cell r="CD35">
            <v>5168304.2633605022</v>
          </cell>
          <cell r="CE35">
            <v>1093155.1880312669</v>
          </cell>
          <cell r="CF35">
            <v>1069094.8390886304</v>
          </cell>
          <cell r="CG35">
            <v>4684667.7461953871</v>
          </cell>
          <cell r="CH35">
            <v>617900.22797630657</v>
          </cell>
          <cell r="CI35">
            <v>12419720.103140112</v>
          </cell>
          <cell r="CJ35">
            <v>2091876.652949932</v>
          </cell>
          <cell r="CK35">
            <v>820656.7340809278</v>
          </cell>
          <cell r="CL35">
            <v>635817.59101159882</v>
          </cell>
          <cell r="CM35">
            <v>482804.03681194817</v>
          </cell>
          <cell r="CN35">
            <v>1513613.2335450135</v>
          </cell>
          <cell r="CO35">
            <v>17639305.62230387</v>
          </cell>
          <cell r="CP35">
            <v>0.76215046939141795</v>
          </cell>
          <cell r="CQ35">
            <v>0.16600060800221017</v>
          </cell>
          <cell r="CR35">
            <v>8.5226674012795239E-2</v>
          </cell>
          <cell r="CS35">
            <v>5.5898307580515283E-2</v>
          </cell>
          <cell r="CT35">
            <v>9.7875058126419362E-2</v>
          </cell>
          <cell r="CU35">
            <v>0.20945045379962196</v>
          </cell>
          <cell r="CV35">
            <v>62.28479778701265</v>
          </cell>
          <cell r="CW35">
            <v>12.10204980934472</v>
          </cell>
          <cell r="CX35">
            <v>5.3536231730866977</v>
          </cell>
          <cell r="CY35">
            <v>4.4618604338916112</v>
          </cell>
          <cell r="CZ35">
            <v>2.5061718808094016</v>
          </cell>
          <cell r="DA35">
            <v>13.087601389791917</v>
          </cell>
          <cell r="DB35">
            <v>95.726227555066657</v>
          </cell>
        </row>
      </sheetData>
      <sheetData sheetId="7"/>
      <sheetData sheetId="8"/>
      <sheetData sheetId="9"/>
      <sheetData sheetId="10"/>
      <sheetData sheetId="11"/>
      <sheetData sheetId="12"/>
      <sheetData sheetId="13"/>
      <sheetData sheetId="14"/>
      <sheetData sheetId="1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Total Expenses=YR1 rate"/>
      <sheetName val="RateOptions"/>
      <sheetName val="GeogVar"/>
      <sheetName val="CostDrivers"/>
      <sheetName val="CostSummary"/>
      <sheetName val="CleanData"/>
      <sheetName val="RawDataCalcs"/>
      <sheetName val="RawContractData"/>
      <sheetName val="Source"/>
      <sheetName val="Benchmark Statistics"/>
      <sheetName val="CleanData (2)"/>
      <sheetName val="RawDataCalcs (2)"/>
      <sheetName val="Lookups"/>
      <sheetName val="Source1"/>
    </sheetNames>
    <sheetDataSet>
      <sheetData sheetId="0"/>
      <sheetData sheetId="1"/>
      <sheetData sheetId="2"/>
      <sheetData sheetId="3"/>
      <sheetData sheetId="4"/>
      <sheetData sheetId="5"/>
      <sheetData sheetId="6"/>
      <sheetData sheetId="7">
        <row r="12">
          <cell r="L12">
            <v>0</v>
          </cell>
          <cell r="M12">
            <v>0.47942206821686489</v>
          </cell>
          <cell r="N12">
            <v>0.59107516603638444</v>
          </cell>
          <cell r="O12">
            <v>0</v>
          </cell>
          <cell r="P12">
            <v>0.14716929384611976</v>
          </cell>
          <cell r="Q12">
            <v>0.77728942548679902</v>
          </cell>
          <cell r="R12">
            <v>3.9793460642052985</v>
          </cell>
          <cell r="S12">
            <v>0</v>
          </cell>
          <cell r="T12">
            <v>6.8799860627629245E-2</v>
          </cell>
          <cell r="U12">
            <v>0</v>
          </cell>
          <cell r="V12">
            <v>0</v>
          </cell>
          <cell r="W12">
            <v>5.5124194334010168E-2</v>
          </cell>
          <cell r="X12">
            <v>0.10885459283877919</v>
          </cell>
          <cell r="Y12">
            <v>2.6944466327065229E-2</v>
          </cell>
          <cell r="Z12">
            <v>37657.202763269961</v>
          </cell>
          <cell r="AA12">
            <v>41481.381742527206</v>
          </cell>
          <cell r="AB12">
            <v>0</v>
          </cell>
          <cell r="AC12">
            <v>23180.701871100842</v>
          </cell>
          <cell r="AD12">
            <v>0</v>
          </cell>
          <cell r="AE12">
            <v>0</v>
          </cell>
          <cell r="AF12">
            <v>17680</v>
          </cell>
          <cell r="AG12">
            <v>30932.575823280509</v>
          </cell>
          <cell r="AH12">
            <v>0</v>
          </cell>
          <cell r="AI12">
            <v>0</v>
          </cell>
          <cell r="AJ12">
            <v>0</v>
          </cell>
          <cell r="AK12">
            <v>0</v>
          </cell>
          <cell r="AL12">
            <v>0</v>
          </cell>
          <cell r="AM12">
            <v>0</v>
          </cell>
          <cell r="AN12">
            <v>17680</v>
          </cell>
          <cell r="AO12">
            <v>34886.084346898184</v>
          </cell>
          <cell r="AP12">
            <v>0</v>
          </cell>
          <cell r="AQ12">
            <v>0</v>
          </cell>
          <cell r="AR12">
            <v>0</v>
          </cell>
          <cell r="AS12">
            <v>0</v>
          </cell>
          <cell r="AT12">
            <v>0</v>
          </cell>
          <cell r="AU12">
            <v>0</v>
          </cell>
          <cell r="AV12">
            <v>0</v>
          </cell>
          <cell r="AW12">
            <v>29311.548012080879</v>
          </cell>
          <cell r="AX12">
            <v>24465.648402802188</v>
          </cell>
          <cell r="AY12">
            <v>0</v>
          </cell>
          <cell r="AZ12">
            <v>0</v>
          </cell>
          <cell r="BA12">
            <v>17680</v>
          </cell>
          <cell r="BB12">
            <v>0</v>
          </cell>
          <cell r="BC12">
            <v>19175.405214616003</v>
          </cell>
          <cell r="BD12">
            <v>30701.478943232476</v>
          </cell>
          <cell r="BE12">
            <v>17680</v>
          </cell>
          <cell r="BF12">
            <v>17680</v>
          </cell>
          <cell r="BG12">
            <v>20600.958294636763</v>
          </cell>
          <cell r="BH12">
            <v>17680</v>
          </cell>
          <cell r="BI12">
            <v>17680</v>
          </cell>
          <cell r="BJ12">
            <v>17680</v>
          </cell>
          <cell r="BK12">
            <v>0</v>
          </cell>
          <cell r="BL12">
            <v>26322.226006430636</v>
          </cell>
          <cell r="BM12">
            <v>17680</v>
          </cell>
          <cell r="BN12">
            <v>38685.831484193477</v>
          </cell>
          <cell r="BO12">
            <v>23961.524385988574</v>
          </cell>
          <cell r="BP12">
            <v>30587.443549548538</v>
          </cell>
          <cell r="BQ12">
            <v>30374.501516037635</v>
          </cell>
          <cell r="BR12">
            <v>24065.321450444375</v>
          </cell>
          <cell r="BS12">
            <v>17680</v>
          </cell>
          <cell r="BT12">
            <v>31503.545017618279</v>
          </cell>
          <cell r="BU12">
            <v>0.10875010040212529</v>
          </cell>
          <cell r="BV12">
            <v>-665.86045161233085</v>
          </cell>
          <cell r="BW12">
            <v>30515.853243324513</v>
          </cell>
          <cell r="BX12">
            <v>-16660.640829909837</v>
          </cell>
          <cell r="BY12">
            <v>-9135.1790957685735</v>
          </cell>
          <cell r="BZ12">
            <v>32296.395852713424</v>
          </cell>
          <cell r="CA12">
            <v>334845.21992346627</v>
          </cell>
          <cell r="CB12">
            <v>0.10234530988206607</v>
          </cell>
          <cell r="CC12">
            <v>28765.51864806415</v>
          </cell>
          <cell r="CD12">
            <v>-5284.7957360897844</v>
          </cell>
          <cell r="CE12">
            <v>-25513.097684307293</v>
          </cell>
          <cell r="CF12">
            <v>-18906.352557716724</v>
          </cell>
          <cell r="CG12">
            <v>104276.06801952093</v>
          </cell>
          <cell r="CH12">
            <v>-14888.551594883442</v>
          </cell>
          <cell r="CI12">
            <v>216681.70258684226</v>
          </cell>
          <cell r="CJ12">
            <v>30515.853243324513</v>
          </cell>
          <cell r="CK12">
            <v>37966.399759004111</v>
          </cell>
          <cell r="CL12">
            <v>-9135.1790957685735</v>
          </cell>
          <cell r="CM12">
            <v>-8350.2509393528308</v>
          </cell>
          <cell r="CN12">
            <v>32296.395852713424</v>
          </cell>
          <cell r="CO12">
            <v>349550.20301367302</v>
          </cell>
          <cell r="CP12">
            <v>0.42294613762647371</v>
          </cell>
          <cell r="CQ12">
            <v>7.35905594988258E-2</v>
          </cell>
          <cell r="CR12">
            <v>8.2962594909753024E-2</v>
          </cell>
          <cell r="CS12">
            <v>1.7892516626277867E-2</v>
          </cell>
          <cell r="CT12">
            <v>-2.4732885317140137E-3</v>
          </cell>
          <cell r="CU12">
            <v>0.10586298753888759</v>
          </cell>
          <cell r="CV12">
            <v>42.600838212563545</v>
          </cell>
          <cell r="CW12">
            <v>5.3071657252094475</v>
          </cell>
          <cell r="CX12">
            <v>9.4706980108063252</v>
          </cell>
          <cell r="CY12">
            <v>-1.1700110965968467</v>
          </cell>
          <cell r="CZ12">
            <v>0.97393317189613549</v>
          </cell>
          <cell r="DA12">
            <v>13.160797782723682</v>
          </cell>
          <cell r="DB12">
            <v>80.826561365641552</v>
          </cell>
        </row>
        <row r="13">
          <cell r="L13">
            <v>22.480065146407</v>
          </cell>
          <cell r="M13">
            <v>1.0747456362248122</v>
          </cell>
          <cell r="N13">
            <v>2.7329248339636161</v>
          </cell>
          <cell r="O13">
            <v>0.29078784028338911</v>
          </cell>
          <cell r="P13">
            <v>3.2028307061538803</v>
          </cell>
          <cell r="Q13">
            <v>1.222710574513201</v>
          </cell>
          <cell r="R13">
            <v>16.372653935794702</v>
          </cell>
          <cell r="S13">
            <v>1.8165771771769958</v>
          </cell>
          <cell r="T13">
            <v>0.2110486242208556</v>
          </cell>
          <cell r="U13">
            <v>3.4194407243989366E-2</v>
          </cell>
          <cell r="V13">
            <v>0.29486276909909559</v>
          </cell>
          <cell r="W13">
            <v>7.0209138999323156E-2</v>
          </cell>
          <cell r="X13">
            <v>1.5136605586763723</v>
          </cell>
          <cell r="Y13">
            <v>5.6085836703237808E-2</v>
          </cell>
          <cell r="Z13">
            <v>72052.353271212793</v>
          </cell>
          <cell r="AA13">
            <v>117026.19825747277</v>
          </cell>
          <cell r="AB13">
            <v>0</v>
          </cell>
          <cell r="AC13">
            <v>67914.273684454718</v>
          </cell>
          <cell r="AD13">
            <v>0</v>
          </cell>
          <cell r="AE13">
            <v>0</v>
          </cell>
          <cell r="AF13">
            <v>53455.555555555555</v>
          </cell>
          <cell r="AG13">
            <v>131907.42417671951</v>
          </cell>
          <cell r="AH13">
            <v>0</v>
          </cell>
          <cell r="AI13">
            <v>0</v>
          </cell>
          <cell r="AJ13">
            <v>0</v>
          </cell>
          <cell r="AK13">
            <v>0</v>
          </cell>
          <cell r="AL13">
            <v>0</v>
          </cell>
          <cell r="AM13">
            <v>0</v>
          </cell>
          <cell r="AN13">
            <v>33021.102040816324</v>
          </cell>
          <cell r="AO13">
            <v>40539.29362929229</v>
          </cell>
          <cell r="AP13">
            <v>0</v>
          </cell>
          <cell r="AQ13">
            <v>0</v>
          </cell>
          <cell r="AR13">
            <v>0</v>
          </cell>
          <cell r="AS13">
            <v>0</v>
          </cell>
          <cell r="AT13">
            <v>0</v>
          </cell>
          <cell r="AU13">
            <v>0</v>
          </cell>
          <cell r="AV13">
            <v>0</v>
          </cell>
          <cell r="AW13">
            <v>41423.482202344065</v>
          </cell>
          <cell r="AX13">
            <v>45416.588620337287</v>
          </cell>
          <cell r="AY13">
            <v>0</v>
          </cell>
          <cell r="AZ13">
            <v>0</v>
          </cell>
          <cell r="BA13">
            <v>46311.377761028903</v>
          </cell>
          <cell r="BB13">
            <v>0</v>
          </cell>
          <cell r="BC13">
            <v>49620.594785383997</v>
          </cell>
          <cell r="BD13">
            <v>38093.165287536744</v>
          </cell>
          <cell r="BE13">
            <v>40410.526315789473</v>
          </cell>
          <cell r="BF13">
            <v>37251.243231968059</v>
          </cell>
          <cell r="BG13">
            <v>22717.334880124985</v>
          </cell>
          <cell r="BH13">
            <v>43556.327965630728</v>
          </cell>
          <cell r="BI13">
            <v>25381.428571428572</v>
          </cell>
          <cell r="BJ13">
            <v>23444.833333333336</v>
          </cell>
          <cell r="BK13">
            <v>0</v>
          </cell>
          <cell r="BL13">
            <v>37511.068903385298</v>
          </cell>
          <cell r="BM13">
            <v>93123.892778139023</v>
          </cell>
          <cell r="BN13">
            <v>75161.12445450385</v>
          </cell>
          <cell r="BO13">
            <v>120235.51265104848</v>
          </cell>
          <cell r="BP13">
            <v>39356.546406253517</v>
          </cell>
          <cell r="BQ13">
            <v>41923.151828633563</v>
          </cell>
          <cell r="BR13">
            <v>34860.115494120335</v>
          </cell>
          <cell r="BS13">
            <v>39268.080811067135</v>
          </cell>
          <cell r="BT13">
            <v>163298.52298238172</v>
          </cell>
          <cell r="BU13">
            <v>0.30951402011544682</v>
          </cell>
          <cell r="BV13">
            <v>1049.4056009049723</v>
          </cell>
          <cell r="BW13">
            <v>163902.66960738285</v>
          </cell>
          <cell r="BX13">
            <v>33115.928829909841</v>
          </cell>
          <cell r="BY13">
            <v>128723.77509576856</v>
          </cell>
          <cell r="BZ13">
            <v>235075.35593657917</v>
          </cell>
          <cell r="CA13">
            <v>1129686.2829272412</v>
          </cell>
          <cell r="CB13">
            <v>0.26182901402968572</v>
          </cell>
          <cell r="CC13">
            <v>147377.24535193585</v>
          </cell>
          <cell r="CD13">
            <v>16435.075736089784</v>
          </cell>
          <cell r="CE13">
            <v>121361.9336843073</v>
          </cell>
          <cell r="CF13">
            <v>62410.420557716723</v>
          </cell>
          <cell r="CG13">
            <v>413661.7199804791</v>
          </cell>
          <cell r="CH13">
            <v>40855.207594883439</v>
          </cell>
          <cell r="CI13">
            <v>653868.68941315776</v>
          </cell>
          <cell r="CJ13">
            <v>163902.66960738285</v>
          </cell>
          <cell r="CK13">
            <v>142570.37624099589</v>
          </cell>
          <cell r="CL13">
            <v>128723.77509576856</v>
          </cell>
          <cell r="CM13">
            <v>42639.914939352835</v>
          </cell>
          <cell r="CN13">
            <v>235075.35593657917</v>
          </cell>
          <cell r="CO13">
            <v>1317205.4996263271</v>
          </cell>
          <cell r="CP13">
            <v>0.63910146780055677</v>
          </cell>
          <cell r="CQ13">
            <v>0.15684808047742871</v>
          </cell>
          <cell r="CR13">
            <v>0.13469498808628508</v>
          </cell>
          <cell r="CS13">
            <v>0.11500826593670618</v>
          </cell>
          <cell r="CT13">
            <v>4.1578822468167242E-2</v>
          </cell>
          <cell r="CU13">
            <v>0.2119868675623521</v>
          </cell>
          <cell r="CV13">
            <v>143.50182671064113</v>
          </cell>
          <cell r="CW13">
            <v>32.845811714322963</v>
          </cell>
          <cell r="CX13">
            <v>28.993534782884005</v>
          </cell>
          <cell r="CY13">
            <v>22.748648622541225</v>
          </cell>
          <cell r="CZ13">
            <v>4.0384890780000875</v>
          </cell>
          <cell r="DA13">
            <v>37.670291443995474</v>
          </cell>
          <cell r="DB13">
            <v>259.3154627933456</v>
          </cell>
        </row>
      </sheetData>
      <sheetData sheetId="8"/>
      <sheetData sheetId="9"/>
      <sheetData sheetId="10"/>
      <sheetData sheetId="11"/>
      <sheetData sheetId="12"/>
      <sheetData sheetId="13"/>
      <sheetData sheetId="1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ORT122413"/>
      <sheetName val="Occ 122413"/>
      <sheetName val="Profit.Loss"/>
      <sheetName val="Staffing Chart"/>
      <sheetName val="ComparativeModls"/>
      <sheetName val="Travel"/>
      <sheetName val="Resi Rehab Model 121713"/>
      <sheetName val="Staffing Add-On"/>
      <sheetName val="OthProgExp&amp;Meals"/>
      <sheetName val="CatsRevised"/>
      <sheetName val="AdminAnlys"/>
      <sheetName val="Alt Salaries"/>
      <sheetName val="Lrg Program Calcs"/>
      <sheetName val="Resi Rehab Model 120213"/>
      <sheetName val="Resi Rehab Models112213"/>
      <sheetName val="CleanData3386&amp;3401 (2)"/>
      <sheetName val="Support Staff"/>
      <sheetName val="Counselor"/>
      <sheetName val="RecSp"/>
      <sheetName val="UFR_Ut3386"/>
      <sheetName val="MMARS"/>
      <sheetName val="UFRBedSizes"/>
      <sheetName val="CleanData3386&amp;3401"/>
      <sheetName val="RawDataCalcs3386&amp;3401"/>
      <sheetName val="Source3386&amp;3401"/>
      <sheetName val="Relief"/>
      <sheetName val="CAF"/>
      <sheetName val="CostSummary"/>
      <sheetName val="CleanData (2)3386&amp;3401"/>
      <sheetName val="RawDataCalcs (2)3386&amp;3401"/>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68">
          <cell r="L68">
            <v>72.246451723559602</v>
          </cell>
        </row>
      </sheetData>
      <sheetData sheetId="23">
        <row r="68">
          <cell r="L68">
            <v>72.246451723559602</v>
          </cell>
          <cell r="M68">
            <v>1.1741641405082577</v>
          </cell>
          <cell r="N68">
            <v>3.5957689647953455</v>
          </cell>
          <cell r="O68">
            <v>0.88242571469783071</v>
          </cell>
          <cell r="P68">
            <v>2.9922523651988402</v>
          </cell>
          <cell r="Q68">
            <v>0</v>
          </cell>
          <cell r="R68">
            <v>22.237316738655739</v>
          </cell>
          <cell r="S68">
            <v>7.5121299519021392</v>
          </cell>
          <cell r="T68">
            <v>2.833316630499493</v>
          </cell>
          <cell r="U68">
            <v>4.5601195749747723E-3</v>
          </cell>
          <cell r="V68">
            <v>12.069142094975193</v>
          </cell>
          <cell r="W68">
            <v>0</v>
          </cell>
          <cell r="X68">
            <v>9.4955627534237532</v>
          </cell>
          <cell r="Y68">
            <v>7.1907363691791755</v>
          </cell>
          <cell r="Z68">
            <v>91020.913854500439</v>
          </cell>
          <cell r="AA68">
            <v>124711.18739604187</v>
          </cell>
          <cell r="AB68">
            <v>64296.027527449696</v>
          </cell>
          <cell r="AC68">
            <v>83622.208514966187</v>
          </cell>
          <cell r="AD68">
            <v>0</v>
          </cell>
          <cell r="AE68">
            <v>0</v>
          </cell>
          <cell r="AF68">
            <v>167549.29408607361</v>
          </cell>
          <cell r="AG68">
            <v>75546.455144027117</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115332.99841003475</v>
          </cell>
          <cell r="AX68">
            <v>90839.543238665152</v>
          </cell>
          <cell r="AY68">
            <v>0</v>
          </cell>
          <cell r="AZ68">
            <v>59076.726041829606</v>
          </cell>
          <cell r="BA68">
            <v>55249.290555402302</v>
          </cell>
          <cell r="BB68">
            <v>46993.941797087129</v>
          </cell>
          <cell r="BC68">
            <v>47942.60200592941</v>
          </cell>
          <cell r="BD68">
            <v>85107.433959006536</v>
          </cell>
          <cell r="BE68">
            <v>60150.264866991725</v>
          </cell>
          <cell r="BF68">
            <v>37107.840583638354</v>
          </cell>
          <cell r="BG68">
            <v>33991.046761281825</v>
          </cell>
          <cell r="BH68">
            <v>43836.393881035721</v>
          </cell>
          <cell r="BI68">
            <v>42463.787575819486</v>
          </cell>
          <cell r="BJ68">
            <v>36682.268470282579</v>
          </cell>
          <cell r="BK68">
            <v>0</v>
          </cell>
          <cell r="BL68">
            <v>45175.200771212883</v>
          </cell>
          <cell r="BM68">
            <v>97222.235686431435</v>
          </cell>
          <cell r="BN68">
            <v>90638.937363165183</v>
          </cell>
          <cell r="BO68">
            <v>113169.90278239301</v>
          </cell>
          <cell r="BP68">
            <v>75684.090495463184</v>
          </cell>
          <cell r="BQ68">
            <v>0</v>
          </cell>
          <cell r="BR68">
            <v>46930.592735945051</v>
          </cell>
          <cell r="BS68">
            <v>42075.312905327548</v>
          </cell>
          <cell r="BT68">
            <v>216269.62980749301</v>
          </cell>
          <cell r="BU68">
            <v>0.384094973342548</v>
          </cell>
          <cell r="BV68">
            <v>12350.994832280969</v>
          </cell>
          <cell r="BW68">
            <v>212803.87537287769</v>
          </cell>
          <cell r="BX68">
            <v>45517.148315027414</v>
          </cell>
          <cell r="BY68">
            <v>230185.59256648831</v>
          </cell>
          <cell r="BZ68">
            <v>345805.7679048095</v>
          </cell>
          <cell r="CA68">
            <v>1710199.5344424306</v>
          </cell>
          <cell r="CB68">
            <v>0.47995423579086732</v>
          </cell>
          <cell r="CC68">
            <v>178983.40179852833</v>
          </cell>
          <cell r="CD68">
            <v>14893.645073636108</v>
          </cell>
          <cell r="CE68">
            <v>69324.247411650023</v>
          </cell>
          <cell r="CF68">
            <v>0</v>
          </cell>
          <cell r="CG68">
            <v>645104.38732416462</v>
          </cell>
          <cell r="CH68">
            <v>174711.25537607726</v>
          </cell>
          <cell r="CI68">
            <v>900518.70140534756</v>
          </cell>
          <cell r="CJ68">
            <v>212803.87537287769</v>
          </cell>
          <cell r="CK68">
            <v>313764.15077518974</v>
          </cell>
          <cell r="CL68">
            <v>230185.59256648831</v>
          </cell>
          <cell r="CM68">
            <v>65003.728577768285</v>
          </cell>
          <cell r="CN68">
            <v>345805.7679048095</v>
          </cell>
          <cell r="CO68">
            <v>1960247.1389764263</v>
          </cell>
          <cell r="CP68">
            <v>0.59610019577804496</v>
          </cell>
          <cell r="CQ68">
            <v>0.15575790933640654</v>
          </cell>
          <cell r="CR68">
            <v>0.27370087615145067</v>
          </cell>
          <cell r="CS68">
            <v>0.1715322579023047</v>
          </cell>
          <cell r="CT68">
            <v>6.6756562511798637E-2</v>
          </cell>
          <cell r="CU68">
            <v>0.31925969008378724</v>
          </cell>
          <cell r="CV68">
            <v>2340.0851687041445</v>
          </cell>
          <cell r="CW68">
            <v>526.7933215540537</v>
          </cell>
          <cell r="CX68">
            <v>783.17498306080529</v>
          </cell>
          <cell r="CY68">
            <v>858.29819826216942</v>
          </cell>
          <cell r="CZ68">
            <v>35.745290086797638</v>
          </cell>
          <cell r="DA68">
            <v>2101.0606313638164</v>
          </cell>
          <cell r="DB68">
            <v>6644.8697714849759</v>
          </cell>
        </row>
      </sheetData>
      <sheetData sheetId="24"/>
      <sheetData sheetId="25"/>
      <sheetData sheetId="26"/>
      <sheetData sheetId="27"/>
      <sheetData sheetId="28"/>
      <sheetData sheetId="29"/>
      <sheetData sheetId="3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ORT122413"/>
      <sheetName val="Occ 122413"/>
      <sheetName val="Profit.Loss"/>
      <sheetName val="Staffing Chart"/>
      <sheetName val="ComparativeModls"/>
      <sheetName val="Travel"/>
      <sheetName val="Resi Rehab Model 121713"/>
      <sheetName val="Staffing Add-On"/>
      <sheetName val="OthProgExp&amp;Meals"/>
      <sheetName val="CatsRevised"/>
      <sheetName val="AdminAnlys"/>
      <sheetName val="Alt Salaries"/>
      <sheetName val="Lrg Program Calcs"/>
      <sheetName val="Resi Rehab Model 120213"/>
      <sheetName val="Resi Rehab Models112213"/>
      <sheetName val="CleanData3386&amp;3401 (2)"/>
      <sheetName val="Support Staff"/>
      <sheetName val="Counselor"/>
      <sheetName val="RecSp"/>
      <sheetName val="UFR_Ut3386"/>
      <sheetName val="MMARS"/>
      <sheetName val="UFRBedSizes"/>
      <sheetName val="CleanData3386&amp;3401"/>
      <sheetName val="RawDataCalcs3386&amp;3401"/>
      <sheetName val="Source3386&amp;3401"/>
      <sheetName val="Relief"/>
      <sheetName val="CAF"/>
      <sheetName val="CostSummary"/>
      <sheetName val="CleanData (2)3386&amp;3401"/>
      <sheetName val="RawDataCalcs (2)3386&amp;3401"/>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68">
          <cell r="L68">
            <v>72.246451723559602</v>
          </cell>
          <cell r="M68">
            <v>1.1741641405082577</v>
          </cell>
          <cell r="N68">
            <v>3.5957689647953455</v>
          </cell>
          <cell r="O68">
            <v>0.88242571469783071</v>
          </cell>
          <cell r="P68">
            <v>2.9922523651988402</v>
          </cell>
          <cell r="Q68">
            <v>0</v>
          </cell>
          <cell r="R68">
            <v>22.237316738655739</v>
          </cell>
          <cell r="S68">
            <v>7.5121299519021392</v>
          </cell>
          <cell r="T68">
            <v>2.833316630499493</v>
          </cell>
          <cell r="U68">
            <v>4.5601195749747723E-3</v>
          </cell>
          <cell r="V68">
            <v>12.069142094975193</v>
          </cell>
          <cell r="W68">
            <v>0</v>
          </cell>
          <cell r="X68">
            <v>9.4955627534237532</v>
          </cell>
          <cell r="Y68">
            <v>7.1907363691791755</v>
          </cell>
          <cell r="Z68">
            <v>91020.913854500439</v>
          </cell>
          <cell r="AA68">
            <v>124711.18739604187</v>
          </cell>
          <cell r="AB68">
            <v>64296.027527449696</v>
          </cell>
          <cell r="AC68">
            <v>83622.208514966187</v>
          </cell>
          <cell r="AD68">
            <v>0</v>
          </cell>
          <cell r="AE68">
            <v>0</v>
          </cell>
          <cell r="AF68">
            <v>167549.29408607361</v>
          </cell>
          <cell r="AG68">
            <v>75546.455144027117</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115332.99841003475</v>
          </cell>
          <cell r="AX68">
            <v>90839.543238665152</v>
          </cell>
          <cell r="AY68">
            <v>0</v>
          </cell>
          <cell r="AZ68">
            <v>59076.726041829606</v>
          </cell>
          <cell r="BA68">
            <v>55249.290555402302</v>
          </cell>
          <cell r="BB68">
            <v>46993.941797087129</v>
          </cell>
          <cell r="BC68">
            <v>47942.60200592941</v>
          </cell>
          <cell r="BD68">
            <v>85107.433959006536</v>
          </cell>
          <cell r="BE68">
            <v>60150.264866991725</v>
          </cell>
          <cell r="BF68">
            <v>37107.840583638354</v>
          </cell>
          <cell r="BG68">
            <v>33991.046761281825</v>
          </cell>
          <cell r="BH68">
            <v>43836.393881035721</v>
          </cell>
          <cell r="BI68">
            <v>42463.787575819486</v>
          </cell>
          <cell r="BJ68">
            <v>36682.268470282579</v>
          </cell>
          <cell r="BK68">
            <v>0</v>
          </cell>
          <cell r="BL68">
            <v>45175.200771212883</v>
          </cell>
          <cell r="BM68">
            <v>97222.235686431435</v>
          </cell>
          <cell r="BN68">
            <v>90638.937363165183</v>
          </cell>
          <cell r="BO68">
            <v>113169.90278239301</v>
          </cell>
          <cell r="BP68">
            <v>75684.090495463184</v>
          </cell>
          <cell r="BQ68">
            <v>0</v>
          </cell>
          <cell r="BR68">
            <v>46930.592735945051</v>
          </cell>
          <cell r="BS68">
            <v>42075.312905327548</v>
          </cell>
          <cell r="BT68">
            <v>216269.62980749301</v>
          </cell>
          <cell r="BU68">
            <v>0.384094973342548</v>
          </cell>
          <cell r="BV68">
            <v>12350.994832280969</v>
          </cell>
          <cell r="BW68">
            <v>212803.87537287769</v>
          </cell>
          <cell r="BX68">
            <v>45517.148315027414</v>
          </cell>
          <cell r="BY68">
            <v>230185.59256648831</v>
          </cell>
          <cell r="BZ68">
            <v>345805.7679048095</v>
          </cell>
          <cell r="CA68">
            <v>1710199.5344424306</v>
          </cell>
          <cell r="CB68">
            <v>0.47995423579086732</v>
          </cell>
          <cell r="CC68">
            <v>178983.40179852833</v>
          </cell>
          <cell r="CD68">
            <v>14893.645073636108</v>
          </cell>
          <cell r="CE68">
            <v>69324.247411650023</v>
          </cell>
          <cell r="CF68">
            <v>0</v>
          </cell>
          <cell r="CG68">
            <v>645104.38732416462</v>
          </cell>
          <cell r="CH68">
            <v>174711.25537607726</v>
          </cell>
          <cell r="CI68">
            <v>900518.70140534756</v>
          </cell>
          <cell r="CJ68">
            <v>212803.87537287769</v>
          </cell>
          <cell r="CK68">
            <v>313764.15077518974</v>
          </cell>
          <cell r="CL68">
            <v>230185.59256648831</v>
          </cell>
          <cell r="CM68">
            <v>65003.728577768285</v>
          </cell>
          <cell r="CN68">
            <v>345805.7679048095</v>
          </cell>
          <cell r="CO68">
            <v>1960247.1389764263</v>
          </cell>
          <cell r="CP68">
            <v>0.59610019577804496</v>
          </cell>
          <cell r="CQ68">
            <v>0.15575790933640654</v>
          </cell>
          <cell r="CR68">
            <v>0.27370087615145067</v>
          </cell>
          <cell r="CS68">
            <v>0.1715322579023047</v>
          </cell>
          <cell r="CT68">
            <v>6.6756562511798637E-2</v>
          </cell>
          <cell r="CU68">
            <v>0.31925969008378724</v>
          </cell>
          <cell r="CV68">
            <v>2340.0851687041445</v>
          </cell>
          <cell r="CW68">
            <v>526.7933215540537</v>
          </cell>
          <cell r="CX68">
            <v>783.17498306080529</v>
          </cell>
          <cell r="CY68">
            <v>858.29819826216942</v>
          </cell>
          <cell r="CZ68">
            <v>35.745290086797638</v>
          </cell>
          <cell r="DA68">
            <v>2101.0606313638164</v>
          </cell>
          <cell r="DB68">
            <v>6644.8697714849759</v>
          </cell>
        </row>
      </sheetData>
      <sheetData sheetId="24"/>
      <sheetData sheetId="25"/>
      <sheetData sheetId="26"/>
      <sheetData sheetId="27"/>
      <sheetData sheetId="28"/>
      <sheetData sheetId="29"/>
      <sheetData sheetId="30"/>
    </sheetDataSet>
  </externalBook>
</externalLink>
</file>

<file path=xl/persons/person.xml><?xml version="1.0" encoding="utf-8"?>
<personList xmlns="http://schemas.microsoft.com/office/spreadsheetml/2018/threadedcomments" xmlns:x="http://schemas.openxmlformats.org/spreadsheetml/2006/main">
  <person displayName="Vilay, Erica" id="{5396B17D-DE31-47EB-9BEF-42B262AA12DC}" userId="S::evilay@pcgus.com::dd8949da-8c4f-4d11-b246-4df7a4ca3034"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6" dT="2022-01-25T14:08:10.35" personId="{5396B17D-DE31-47EB-9BEF-42B262AA12DC}" id="{59DED6FE-068B-4ADB-803E-C3F3F38AA676}">
    <text>Decreased because no face-to-face office meetings are needed.</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6683D-CC30-4F45-ACA0-4B9407B406E8}">
  <dimension ref="A1:DB47"/>
  <sheetViews>
    <sheetView topLeftCell="BX1" workbookViewId="0">
      <selection activeCell="CE17" sqref="CE17"/>
    </sheetView>
  </sheetViews>
  <sheetFormatPr defaultColWidth="9.140625" defaultRowHeight="12.75"/>
  <cols>
    <col min="1" max="1" width="38.42578125" style="972" customWidth="1"/>
    <col min="2" max="2" width="12.85546875" style="977" customWidth="1"/>
    <col min="3" max="82" width="7.7109375" style="972" customWidth="1"/>
    <col min="83" max="87" width="9.140625" style="972"/>
    <col min="88" max="88" width="15" style="972" bestFit="1" customWidth="1"/>
    <col min="89" max="95" width="9.140625" style="972"/>
    <col min="96" max="96" width="11.5703125" style="972" customWidth="1"/>
    <col min="97" max="97" width="15.85546875" style="972" customWidth="1"/>
    <col min="98" max="16384" width="9.140625" style="972"/>
  </cols>
  <sheetData>
    <row r="1" spans="1:106" ht="18">
      <c r="A1" s="1062" t="s">
        <v>0</v>
      </c>
      <c r="B1" s="1063"/>
    </row>
    <row r="2" spans="1:106" ht="15.75">
      <c r="A2" s="973" t="s">
        <v>706</v>
      </c>
      <c r="B2" s="974"/>
    </row>
    <row r="3" spans="1:106" ht="15.75" thickBot="1">
      <c r="A3" s="975" t="s">
        <v>1</v>
      </c>
      <c r="B3" s="976"/>
    </row>
    <row r="7" spans="1:106" s="977" customFormat="1">
      <c r="B7" s="977" t="s">
        <v>7</v>
      </c>
      <c r="C7" s="978" t="s">
        <v>8</v>
      </c>
      <c r="D7" s="978" t="s">
        <v>9</v>
      </c>
      <c r="E7" s="978" t="s">
        <v>10</v>
      </c>
      <c r="F7" s="978" t="s">
        <v>11</v>
      </c>
      <c r="G7" s="978" t="s">
        <v>12</v>
      </c>
      <c r="H7" s="978" t="s">
        <v>13</v>
      </c>
      <c r="I7" s="978" t="s">
        <v>14</v>
      </c>
      <c r="J7" s="978" t="s">
        <v>15</v>
      </c>
      <c r="K7" s="978" t="s">
        <v>16</v>
      </c>
      <c r="L7" s="978" t="s">
        <v>17</v>
      </c>
      <c r="M7" s="978" t="s">
        <v>18</v>
      </c>
      <c r="N7" s="978" t="s">
        <v>19</v>
      </c>
      <c r="O7" s="978" t="s">
        <v>20</v>
      </c>
      <c r="P7" s="978" t="s">
        <v>21</v>
      </c>
      <c r="Q7" s="978" t="s">
        <v>22</v>
      </c>
      <c r="R7" s="978" t="s">
        <v>23</v>
      </c>
      <c r="S7" s="978" t="s">
        <v>24</v>
      </c>
      <c r="T7" s="978" t="s">
        <v>25</v>
      </c>
      <c r="U7" s="978" t="s">
        <v>26</v>
      </c>
      <c r="V7" s="978" t="s">
        <v>27</v>
      </c>
      <c r="W7" s="978" t="s">
        <v>28</v>
      </c>
      <c r="X7" s="978" t="s">
        <v>29</v>
      </c>
      <c r="Y7" s="978" t="s">
        <v>30</v>
      </c>
      <c r="Z7" s="978" t="s">
        <v>31</v>
      </c>
      <c r="AA7" s="978" t="s">
        <v>32</v>
      </c>
      <c r="AB7" s="978" t="s">
        <v>33</v>
      </c>
      <c r="AC7" s="978" t="s">
        <v>34</v>
      </c>
      <c r="AD7" s="978" t="s">
        <v>35</v>
      </c>
      <c r="AE7" s="978" t="s">
        <v>36</v>
      </c>
      <c r="AF7" s="978" t="s">
        <v>37</v>
      </c>
      <c r="AG7" s="978" t="s">
        <v>38</v>
      </c>
      <c r="AH7" s="978" t="s">
        <v>39</v>
      </c>
      <c r="AI7" s="978" t="s">
        <v>40</v>
      </c>
      <c r="AJ7" s="978" t="s">
        <v>41</v>
      </c>
      <c r="AK7" s="978" t="s">
        <v>42</v>
      </c>
      <c r="AL7" s="978" t="s">
        <v>43</v>
      </c>
      <c r="AM7" s="978" t="s">
        <v>44</v>
      </c>
      <c r="AN7" s="978" t="s">
        <v>45</v>
      </c>
      <c r="AO7" s="978" t="s">
        <v>46</v>
      </c>
      <c r="AP7" s="978" t="s">
        <v>47</v>
      </c>
      <c r="AQ7" s="978" t="s">
        <v>48</v>
      </c>
      <c r="AR7" s="978" t="s">
        <v>49</v>
      </c>
      <c r="AS7" s="978" t="s">
        <v>50</v>
      </c>
      <c r="AT7" s="978" t="s">
        <v>51</v>
      </c>
      <c r="AU7" s="977" t="s">
        <v>52</v>
      </c>
      <c r="AV7" s="977" t="s">
        <v>53</v>
      </c>
      <c r="AW7" s="977" t="s">
        <v>54</v>
      </c>
      <c r="AX7" s="977" t="s">
        <v>55</v>
      </c>
      <c r="AY7" s="977" t="s">
        <v>56</v>
      </c>
      <c r="AZ7" s="977" t="s">
        <v>57</v>
      </c>
      <c r="BA7" s="977" t="s">
        <v>58</v>
      </c>
      <c r="BB7" s="977" t="s">
        <v>59</v>
      </c>
      <c r="BC7" s="977" t="s">
        <v>60</v>
      </c>
      <c r="BD7" s="977" t="s">
        <v>61</v>
      </c>
      <c r="BE7" s="977" t="s">
        <v>62</v>
      </c>
      <c r="BF7" s="977" t="s">
        <v>63</v>
      </c>
      <c r="BG7" s="977" t="s">
        <v>64</v>
      </c>
      <c r="BH7" s="977" t="s">
        <v>65</v>
      </c>
      <c r="BI7" s="977" t="s">
        <v>66</v>
      </c>
      <c r="BJ7" s="977" t="s">
        <v>67</v>
      </c>
      <c r="BK7" s="977" t="s">
        <v>68</v>
      </c>
      <c r="BL7" s="977" t="s">
        <v>69</v>
      </c>
      <c r="BM7" s="977" t="s">
        <v>70</v>
      </c>
      <c r="BN7" s="977" t="s">
        <v>71</v>
      </c>
      <c r="BO7" s="977" t="s">
        <v>72</v>
      </c>
      <c r="BP7" s="977" t="s">
        <v>73</v>
      </c>
      <c r="BQ7" s="977" t="s">
        <v>74</v>
      </c>
      <c r="BR7" s="977" t="s">
        <v>75</v>
      </c>
      <c r="BS7" s="977" t="s">
        <v>76</v>
      </c>
      <c r="BT7" s="977" t="s">
        <v>77</v>
      </c>
      <c r="BU7" s="977" t="s">
        <v>78</v>
      </c>
      <c r="BV7" s="977" t="s">
        <v>79</v>
      </c>
      <c r="BW7" s="977" t="s">
        <v>80</v>
      </c>
      <c r="BX7" s="977" t="s">
        <v>81</v>
      </c>
      <c r="BY7" s="977" t="s">
        <v>82</v>
      </c>
      <c r="BZ7" s="977" t="s">
        <v>83</v>
      </c>
      <c r="CA7" s="977" t="s">
        <v>84</v>
      </c>
      <c r="CB7" s="977" t="s">
        <v>85</v>
      </c>
      <c r="CC7" s="977" t="s">
        <v>86</v>
      </c>
      <c r="CD7" s="977" t="s">
        <v>87</v>
      </c>
      <c r="CE7" s="977" t="s">
        <v>88</v>
      </c>
      <c r="CF7" s="977" t="s">
        <v>89</v>
      </c>
      <c r="CG7" s="977" t="s">
        <v>90</v>
      </c>
      <c r="CH7" s="977" t="s">
        <v>91</v>
      </c>
      <c r="CI7" s="977" t="s">
        <v>92</v>
      </c>
      <c r="CJ7" s="977" t="s">
        <v>93</v>
      </c>
      <c r="CK7" s="977" t="s">
        <v>94</v>
      </c>
      <c r="CL7" s="977" t="s">
        <v>95</v>
      </c>
      <c r="CM7" s="977" t="s">
        <v>654</v>
      </c>
      <c r="CN7" s="977" t="s">
        <v>655</v>
      </c>
      <c r="CO7" s="977" t="s">
        <v>656</v>
      </c>
      <c r="CP7" s="977" t="s">
        <v>657</v>
      </c>
      <c r="CQ7" s="977" t="s">
        <v>658</v>
      </c>
      <c r="CR7" s="977" t="s">
        <v>659</v>
      </c>
      <c r="CS7" s="977" t="s">
        <v>660</v>
      </c>
      <c r="CT7" s="977" t="s">
        <v>661</v>
      </c>
      <c r="CU7" s="977" t="s">
        <v>668</v>
      </c>
      <c r="CV7" s="977" t="s">
        <v>669</v>
      </c>
      <c r="CW7" s="977" t="s">
        <v>670</v>
      </c>
      <c r="CX7" s="977" t="s">
        <v>671</v>
      </c>
      <c r="CY7" s="977" t="s">
        <v>707</v>
      </c>
      <c r="CZ7" s="977" t="s">
        <v>708</v>
      </c>
      <c r="DA7" s="977" t="s">
        <v>709</v>
      </c>
      <c r="DB7" s="977" t="s">
        <v>710</v>
      </c>
    </row>
    <row r="8" spans="1:106">
      <c r="A8" s="977" t="s">
        <v>96</v>
      </c>
      <c r="B8" s="977" t="s">
        <v>97</v>
      </c>
      <c r="C8" s="979">
        <v>2.00628152344725</v>
      </c>
      <c r="D8" s="979">
        <v>2.0289884930558402</v>
      </c>
      <c r="E8" s="979">
        <v>2.0375016562590802</v>
      </c>
      <c r="F8" s="979">
        <v>2.0607449869168599</v>
      </c>
      <c r="G8" s="979">
        <v>2.0744332275644801</v>
      </c>
      <c r="H8" s="979">
        <v>2.08454547450836</v>
      </c>
      <c r="I8" s="979">
        <v>2.1206746557150402</v>
      </c>
      <c r="J8" s="979">
        <v>2.14275729334011</v>
      </c>
      <c r="K8" s="979">
        <v>2.1573758168938499</v>
      </c>
      <c r="L8" s="979">
        <v>2.1832269913207099</v>
      </c>
      <c r="M8" s="979">
        <v>2.2041365810243998</v>
      </c>
      <c r="N8" s="979">
        <v>2.1899931166757001</v>
      </c>
      <c r="O8" s="979">
        <v>2.2072571273119199</v>
      </c>
      <c r="P8" s="979">
        <v>2.2278061460830898</v>
      </c>
      <c r="Q8" s="979">
        <v>2.2459872624776498</v>
      </c>
      <c r="R8" s="979">
        <v>2.2737796851626002</v>
      </c>
      <c r="S8" s="979">
        <v>2.2969718599533899</v>
      </c>
      <c r="T8" s="979">
        <v>2.3348646382960099</v>
      </c>
      <c r="U8" s="979">
        <v>2.3735648754926002</v>
      </c>
      <c r="V8" s="979">
        <v>2.3220801273912</v>
      </c>
      <c r="W8" s="979">
        <v>2.3034285045676701</v>
      </c>
      <c r="X8" s="979">
        <v>2.3147021401619101</v>
      </c>
      <c r="Y8" s="979">
        <v>2.3337614610957198</v>
      </c>
      <c r="Z8" s="979">
        <v>2.3528576086547801</v>
      </c>
      <c r="AA8" s="979">
        <v>2.35647771513222</v>
      </c>
      <c r="AB8" s="979">
        <v>2.3596025653367101</v>
      </c>
      <c r="AC8" s="979">
        <v>2.3673890181389599</v>
      </c>
      <c r="AD8" s="979">
        <v>2.3902843413905099</v>
      </c>
      <c r="AE8" s="979">
        <v>2.4075011397303001</v>
      </c>
      <c r="AF8" s="979">
        <v>2.4441794059222399</v>
      </c>
      <c r="AG8" s="979">
        <v>2.4606450441339098</v>
      </c>
      <c r="AH8" s="979">
        <v>2.4683177087339598</v>
      </c>
      <c r="AI8" s="979">
        <v>2.4799514472049</v>
      </c>
      <c r="AJ8" s="979">
        <v>2.4866052278032602</v>
      </c>
      <c r="AK8" s="979">
        <v>2.49805925339983</v>
      </c>
      <c r="AL8" s="979">
        <v>2.5181882805357798</v>
      </c>
      <c r="AM8" s="979">
        <v>2.5229787830159101</v>
      </c>
      <c r="AN8" s="979">
        <v>2.52346335903882</v>
      </c>
      <c r="AO8" s="979">
        <v>2.5387532942889002</v>
      </c>
      <c r="AP8" s="979">
        <v>2.5497773093796798</v>
      </c>
      <c r="AQ8" s="979">
        <v>2.5636066148424002</v>
      </c>
      <c r="AR8" s="979">
        <v>2.56792955597742</v>
      </c>
      <c r="AS8" s="979">
        <v>2.57495679166504</v>
      </c>
      <c r="AT8" s="979">
        <v>2.5708478641900898</v>
      </c>
      <c r="AU8" s="979">
        <v>2.5617405316734598</v>
      </c>
      <c r="AV8" s="979">
        <v>2.5735873439772798</v>
      </c>
      <c r="AW8" s="979">
        <v>2.5767155739846399</v>
      </c>
      <c r="AX8" s="979">
        <v>2.57726677772387</v>
      </c>
      <c r="AY8" s="979">
        <v>2.5714104290309301</v>
      </c>
      <c r="AZ8" s="979">
        <v>2.5919136046640499</v>
      </c>
      <c r="BA8" s="979">
        <v>2.6072565906426499</v>
      </c>
      <c r="BB8" s="979">
        <v>2.6258801771662501</v>
      </c>
      <c r="BC8" s="979">
        <v>2.6432306689598501</v>
      </c>
      <c r="BD8" s="979">
        <v>2.6454476861951899</v>
      </c>
      <c r="BE8" s="979">
        <v>2.6517812730067698</v>
      </c>
      <c r="BF8" s="979">
        <v>2.6733971140650601</v>
      </c>
      <c r="BG8" s="979">
        <v>2.7001626673320298</v>
      </c>
      <c r="BH8" s="979">
        <v>2.7186749307887399</v>
      </c>
      <c r="BI8" s="979">
        <v>2.7312502770766902</v>
      </c>
      <c r="BJ8" s="979">
        <v>2.7449673362036799</v>
      </c>
      <c r="BK8" s="979">
        <v>2.74964123298852</v>
      </c>
      <c r="BL8" s="979">
        <v>2.76892419756365</v>
      </c>
      <c r="BM8" s="979">
        <v>2.7854306387802099</v>
      </c>
      <c r="BN8" s="979">
        <v>2.7987928855446702</v>
      </c>
      <c r="BO8" s="979">
        <v>2.80587239388006</v>
      </c>
      <c r="BP8" s="979">
        <v>2.7900748919912099</v>
      </c>
      <c r="BQ8" s="979">
        <v>2.8027670186365801</v>
      </c>
      <c r="BR8" s="979">
        <v>2.81899770482157</v>
      </c>
      <c r="BS8" s="979">
        <v>2.8437972933142301</v>
      </c>
      <c r="BT8" s="979">
        <v>2.8770723994158698</v>
      </c>
      <c r="BU8" s="979">
        <v>2.9193140754345901</v>
      </c>
      <c r="BV8" s="979">
        <v>2.9829435493595602</v>
      </c>
      <c r="BW8" s="979">
        <v>3.03684630224281</v>
      </c>
      <c r="BX8" s="979">
        <v>3.0939993473318301</v>
      </c>
      <c r="BY8" s="979">
        <v>3.1315060095292502</v>
      </c>
      <c r="BZ8" s="979">
        <v>3.1709241734295301</v>
      </c>
      <c r="CA8" s="979">
        <v>3.1806721825302202</v>
      </c>
      <c r="CB8" s="979">
        <v>3.1784604162518999</v>
      </c>
      <c r="CC8" s="979">
        <v>3.2022153247244498</v>
      </c>
      <c r="CD8" s="979">
        <v>3.2228466011932602</v>
      </c>
      <c r="CE8" s="979">
        <v>3.23550782587207</v>
      </c>
      <c r="CF8" s="979">
        <v>3.2578443343391998</v>
      </c>
      <c r="CG8" s="979">
        <v>3.2785336061586099</v>
      </c>
      <c r="CH8" s="979">
        <v>3.2945750495459198</v>
      </c>
      <c r="CI8" s="979">
        <v>3.3197866008054402</v>
      </c>
      <c r="CJ8" s="979">
        <v>3.3417226906935502</v>
      </c>
      <c r="CK8" s="979">
        <v>3.36166301106931</v>
      </c>
      <c r="CL8" s="979">
        <v>3.3822166895578301</v>
      </c>
      <c r="CM8" s="979">
        <v>3.4010128419302901</v>
      </c>
      <c r="CN8" s="979">
        <v>3.4201372554861198</v>
      </c>
      <c r="CO8" s="979">
        <v>3.4400186137155999</v>
      </c>
      <c r="CP8" s="979">
        <v>3.4615101467212601</v>
      </c>
      <c r="CQ8" s="979">
        <v>3.4818284987769199</v>
      </c>
      <c r="CR8" s="979">
        <v>3.5028392058351798</v>
      </c>
      <c r="CS8" s="979">
        <v>3.5249202930579</v>
      </c>
      <c r="CT8" s="979">
        <v>3.5460071373514799</v>
      </c>
      <c r="CU8" s="979">
        <v>3.5669972330235602</v>
      </c>
      <c r="CV8" s="979">
        <v>3.58692701237405</v>
      </c>
      <c r="CW8" s="979">
        <v>3.6082038272031101</v>
      </c>
      <c r="CX8" s="979">
        <v>3.6277494069088498</v>
      </c>
      <c r="CY8" s="979">
        <v>3.6500031303623102</v>
      </c>
      <c r="CZ8" s="979">
        <v>3.6695569189604802</v>
      </c>
      <c r="DA8" s="979">
        <v>3.6905864228250498</v>
      </c>
      <c r="DB8" s="979">
        <v>3.71149820318655</v>
      </c>
    </row>
    <row r="9" spans="1:106">
      <c r="A9" s="977" t="s">
        <v>98</v>
      </c>
      <c r="B9" s="977" t="s">
        <v>99</v>
      </c>
      <c r="C9" s="979">
        <v>2.00628152344725</v>
      </c>
      <c r="D9" s="979">
        <v>2.0289884930558402</v>
      </c>
      <c r="E9" s="979">
        <v>2.0375016562590802</v>
      </c>
      <c r="F9" s="979">
        <v>2.0607449869168599</v>
      </c>
      <c r="G9" s="979">
        <v>2.0744332275644801</v>
      </c>
      <c r="H9" s="979">
        <v>2.08454547450836</v>
      </c>
      <c r="I9" s="979">
        <v>2.1206746557150402</v>
      </c>
      <c r="J9" s="979">
        <v>2.14275729334011</v>
      </c>
      <c r="K9" s="979">
        <v>2.1573758168938499</v>
      </c>
      <c r="L9" s="979">
        <v>2.1832269913207099</v>
      </c>
      <c r="M9" s="979">
        <v>2.2041365810243998</v>
      </c>
      <c r="N9" s="979">
        <v>2.1899931166757001</v>
      </c>
      <c r="O9" s="979">
        <v>2.2072571273119199</v>
      </c>
      <c r="P9" s="979">
        <v>2.2278061460830898</v>
      </c>
      <c r="Q9" s="979">
        <v>2.2459872624776498</v>
      </c>
      <c r="R9" s="979">
        <v>2.2737796851626002</v>
      </c>
      <c r="S9" s="979">
        <v>2.2969718599533899</v>
      </c>
      <c r="T9" s="979">
        <v>2.3348646382960099</v>
      </c>
      <c r="U9" s="979">
        <v>2.3735648754926002</v>
      </c>
      <c r="V9" s="979">
        <v>2.3220801273912</v>
      </c>
      <c r="W9" s="979">
        <v>2.3034285045676701</v>
      </c>
      <c r="X9" s="979">
        <v>2.3147021401619101</v>
      </c>
      <c r="Y9" s="979">
        <v>2.3337614610957198</v>
      </c>
      <c r="Z9" s="979">
        <v>2.3528576086547801</v>
      </c>
      <c r="AA9" s="979">
        <v>2.35647771513222</v>
      </c>
      <c r="AB9" s="979">
        <v>2.3596025653367101</v>
      </c>
      <c r="AC9" s="979">
        <v>2.3673890181389599</v>
      </c>
      <c r="AD9" s="979">
        <v>2.3902843413905099</v>
      </c>
      <c r="AE9" s="979">
        <v>2.4075011397303001</v>
      </c>
      <c r="AF9" s="979">
        <v>2.4441794059222399</v>
      </c>
      <c r="AG9" s="979">
        <v>2.4606450441339098</v>
      </c>
      <c r="AH9" s="979">
        <v>2.4683177087339598</v>
      </c>
      <c r="AI9" s="979">
        <v>2.4799514472049</v>
      </c>
      <c r="AJ9" s="979">
        <v>2.4866052278032602</v>
      </c>
      <c r="AK9" s="979">
        <v>2.49805925339983</v>
      </c>
      <c r="AL9" s="979">
        <v>2.5181882805357798</v>
      </c>
      <c r="AM9" s="979">
        <v>2.5229787830159101</v>
      </c>
      <c r="AN9" s="979">
        <v>2.52346335903882</v>
      </c>
      <c r="AO9" s="979">
        <v>2.5387532942889002</v>
      </c>
      <c r="AP9" s="979">
        <v>2.5497773093796798</v>
      </c>
      <c r="AQ9" s="979">
        <v>2.5636066148424002</v>
      </c>
      <c r="AR9" s="979">
        <v>2.56792955597742</v>
      </c>
      <c r="AS9" s="979">
        <v>2.57495679166504</v>
      </c>
      <c r="AT9" s="979">
        <v>2.5708478641900898</v>
      </c>
      <c r="AU9" s="979">
        <v>2.5617405316734598</v>
      </c>
      <c r="AV9" s="979">
        <v>2.5735873439772798</v>
      </c>
      <c r="AW9" s="979">
        <v>2.5767155739846399</v>
      </c>
      <c r="AX9" s="979">
        <v>2.57726677772387</v>
      </c>
      <c r="AY9" s="979">
        <v>2.5714104290309301</v>
      </c>
      <c r="AZ9" s="979">
        <v>2.5919136046640499</v>
      </c>
      <c r="BA9" s="979">
        <v>2.6072565906426499</v>
      </c>
      <c r="BB9" s="979">
        <v>2.6258801771662501</v>
      </c>
      <c r="BC9" s="979">
        <v>2.6432306689598501</v>
      </c>
      <c r="BD9" s="979">
        <v>2.6454476861951899</v>
      </c>
      <c r="BE9" s="979">
        <v>2.6517812730067698</v>
      </c>
      <c r="BF9" s="979">
        <v>2.6733971140650601</v>
      </c>
      <c r="BG9" s="979">
        <v>2.7001626673320298</v>
      </c>
      <c r="BH9" s="979">
        <v>2.7186749307887399</v>
      </c>
      <c r="BI9" s="979">
        <v>2.7312502770766902</v>
      </c>
      <c r="BJ9" s="979">
        <v>2.7449673362036799</v>
      </c>
      <c r="BK9" s="979">
        <v>2.74964123298852</v>
      </c>
      <c r="BL9" s="979">
        <v>2.76892419756365</v>
      </c>
      <c r="BM9" s="979">
        <v>2.7854306387802099</v>
      </c>
      <c r="BN9" s="979">
        <v>2.7987928855446702</v>
      </c>
      <c r="BO9" s="979">
        <v>2.80587239388006</v>
      </c>
      <c r="BP9" s="979">
        <v>2.7900748919912099</v>
      </c>
      <c r="BQ9" s="979">
        <v>2.8027670186365801</v>
      </c>
      <c r="BR9" s="979">
        <v>2.81899770482157</v>
      </c>
      <c r="BS9" s="979">
        <v>2.8437972933142301</v>
      </c>
      <c r="BT9" s="979">
        <v>2.8770723994158698</v>
      </c>
      <c r="BU9" s="979">
        <v>2.9193140754345901</v>
      </c>
      <c r="BV9" s="979">
        <v>2.9829435493595602</v>
      </c>
      <c r="BW9" s="979">
        <v>3.03684630224281</v>
      </c>
      <c r="BX9" s="979">
        <v>3.0939993473318301</v>
      </c>
      <c r="BY9" s="979">
        <v>3.1315060095292502</v>
      </c>
      <c r="BZ9" s="979">
        <v>3.1709241734295301</v>
      </c>
      <c r="CA9" s="979">
        <v>3.1806721825302202</v>
      </c>
      <c r="CB9" s="979">
        <v>3.1784604162518999</v>
      </c>
      <c r="CC9" s="979">
        <v>3.1880215703579999</v>
      </c>
      <c r="CD9" s="979">
        <v>3.2065682971238298</v>
      </c>
      <c r="CE9" s="979">
        <v>3.2177399457864699</v>
      </c>
      <c r="CF9" s="979">
        <v>3.2378185634282302</v>
      </c>
      <c r="CG9" s="979">
        <v>3.25656770063839</v>
      </c>
      <c r="CH9" s="979">
        <v>3.27110127859771</v>
      </c>
      <c r="CI9" s="979">
        <v>3.2944309740921498</v>
      </c>
      <c r="CJ9" s="979">
        <v>3.3143993617605201</v>
      </c>
      <c r="CK9" s="979">
        <v>3.3322344903885601</v>
      </c>
      <c r="CL9" s="979">
        <v>3.35046325499723</v>
      </c>
      <c r="CM9" s="979">
        <v>3.3669734300441201</v>
      </c>
      <c r="CN9" s="979">
        <v>3.3835781064221901</v>
      </c>
      <c r="CO9" s="979">
        <v>3.40126999342383</v>
      </c>
      <c r="CP9" s="979">
        <v>3.4206485932531399</v>
      </c>
      <c r="CQ9" s="979">
        <v>3.4390532499344801</v>
      </c>
      <c r="CR9" s="979">
        <v>3.4580366768499</v>
      </c>
      <c r="CS9" s="979">
        <v>3.47802438177116</v>
      </c>
      <c r="CT9" s="979">
        <v>3.4970669586175398</v>
      </c>
      <c r="CU9" s="979">
        <v>3.5161376145324899</v>
      </c>
      <c r="CV9" s="979">
        <v>3.53415200640889</v>
      </c>
      <c r="CW9" s="979">
        <v>3.5535194739162299</v>
      </c>
      <c r="CX9" s="979">
        <v>3.5709835716878802</v>
      </c>
      <c r="CY9" s="979">
        <v>3.5912976737319</v>
      </c>
      <c r="CZ9" s="979">
        <v>3.6087192639826902</v>
      </c>
      <c r="DA9" s="979">
        <v>3.6274135114711501</v>
      </c>
      <c r="DB9" s="979">
        <v>3.6458171909181298</v>
      </c>
    </row>
    <row r="10" spans="1:106">
      <c r="A10" s="977" t="s">
        <v>100</v>
      </c>
      <c r="B10" s="977" t="s">
        <v>101</v>
      </c>
      <c r="C10" s="979">
        <v>2.00628152344725</v>
      </c>
      <c r="D10" s="979">
        <v>2.0289884930558402</v>
      </c>
      <c r="E10" s="979">
        <v>2.0375016562590802</v>
      </c>
      <c r="F10" s="979">
        <v>2.0607449869168599</v>
      </c>
      <c r="G10" s="979">
        <v>2.0744332275644801</v>
      </c>
      <c r="H10" s="979">
        <v>2.08454547450836</v>
      </c>
      <c r="I10" s="979">
        <v>2.1206746557150402</v>
      </c>
      <c r="J10" s="979">
        <v>2.14275729334011</v>
      </c>
      <c r="K10" s="979">
        <v>2.1573758168938499</v>
      </c>
      <c r="L10" s="979">
        <v>2.1832269913207099</v>
      </c>
      <c r="M10" s="979">
        <v>2.2041365810243998</v>
      </c>
      <c r="N10" s="979">
        <v>2.1899931166757001</v>
      </c>
      <c r="O10" s="979">
        <v>2.2072571273119199</v>
      </c>
      <c r="P10" s="979">
        <v>2.2278061460830898</v>
      </c>
      <c r="Q10" s="979">
        <v>2.2459872624776498</v>
      </c>
      <c r="R10" s="979">
        <v>2.2737796851626002</v>
      </c>
      <c r="S10" s="979">
        <v>2.2969718599533899</v>
      </c>
      <c r="T10" s="979">
        <v>2.3348646382960099</v>
      </c>
      <c r="U10" s="979">
        <v>2.3735648754926002</v>
      </c>
      <c r="V10" s="979">
        <v>2.3220801273912</v>
      </c>
      <c r="W10" s="979">
        <v>2.3034285045676701</v>
      </c>
      <c r="X10" s="979">
        <v>2.3147021401619101</v>
      </c>
      <c r="Y10" s="979">
        <v>2.3337614610957198</v>
      </c>
      <c r="Z10" s="979">
        <v>2.3528576086547801</v>
      </c>
      <c r="AA10" s="979">
        <v>2.35647771513222</v>
      </c>
      <c r="AB10" s="979">
        <v>2.3596025653367101</v>
      </c>
      <c r="AC10" s="979">
        <v>2.3673890181389599</v>
      </c>
      <c r="AD10" s="979">
        <v>2.3902843413905099</v>
      </c>
      <c r="AE10" s="979">
        <v>2.4075011397303001</v>
      </c>
      <c r="AF10" s="979">
        <v>2.4441794059222399</v>
      </c>
      <c r="AG10" s="979">
        <v>2.4606450441339098</v>
      </c>
      <c r="AH10" s="979">
        <v>2.4683177087339598</v>
      </c>
      <c r="AI10" s="979">
        <v>2.4799514472049</v>
      </c>
      <c r="AJ10" s="979">
        <v>2.4866052278032602</v>
      </c>
      <c r="AK10" s="979">
        <v>2.49805925339983</v>
      </c>
      <c r="AL10" s="979">
        <v>2.5181882805357798</v>
      </c>
      <c r="AM10" s="979">
        <v>2.5229787830159101</v>
      </c>
      <c r="AN10" s="979">
        <v>2.52346335903882</v>
      </c>
      <c r="AO10" s="979">
        <v>2.5387532942889002</v>
      </c>
      <c r="AP10" s="979">
        <v>2.5497773093796798</v>
      </c>
      <c r="AQ10" s="979">
        <v>2.5636066148424002</v>
      </c>
      <c r="AR10" s="979">
        <v>2.56792955597742</v>
      </c>
      <c r="AS10" s="979">
        <v>2.57495679166504</v>
      </c>
      <c r="AT10" s="979">
        <v>2.5708478641900898</v>
      </c>
      <c r="AU10" s="979">
        <v>2.5617405316734598</v>
      </c>
      <c r="AV10" s="979">
        <v>2.5735873439772798</v>
      </c>
      <c r="AW10" s="979">
        <v>2.5767155739846399</v>
      </c>
      <c r="AX10" s="979">
        <v>2.57726677772387</v>
      </c>
      <c r="AY10" s="979">
        <v>2.5714104290309301</v>
      </c>
      <c r="AZ10" s="979">
        <v>2.5919136046640499</v>
      </c>
      <c r="BA10" s="979">
        <v>2.6072565906426499</v>
      </c>
      <c r="BB10" s="979">
        <v>2.6258801771662501</v>
      </c>
      <c r="BC10" s="979">
        <v>2.6432306689598501</v>
      </c>
      <c r="BD10" s="979">
        <v>2.6454476861951899</v>
      </c>
      <c r="BE10" s="979">
        <v>2.6517812730067698</v>
      </c>
      <c r="BF10" s="979">
        <v>2.6733971140650601</v>
      </c>
      <c r="BG10" s="979">
        <v>2.7001626673320298</v>
      </c>
      <c r="BH10" s="979">
        <v>2.7186749307887399</v>
      </c>
      <c r="BI10" s="979">
        <v>2.7312502770766902</v>
      </c>
      <c r="BJ10" s="979">
        <v>2.7449673362036799</v>
      </c>
      <c r="BK10" s="979">
        <v>2.74964123298852</v>
      </c>
      <c r="BL10" s="979">
        <v>2.76892419756365</v>
      </c>
      <c r="BM10" s="979">
        <v>2.7854306387802099</v>
      </c>
      <c r="BN10" s="979">
        <v>2.7987928855446702</v>
      </c>
      <c r="BO10" s="979">
        <v>2.80587239388006</v>
      </c>
      <c r="BP10" s="979">
        <v>2.7900748919912099</v>
      </c>
      <c r="BQ10" s="979">
        <v>2.8027670186365801</v>
      </c>
      <c r="BR10" s="979">
        <v>2.81899770482157</v>
      </c>
      <c r="BS10" s="979">
        <v>2.8437972933142301</v>
      </c>
      <c r="BT10" s="979">
        <v>2.8770723994158698</v>
      </c>
      <c r="BU10" s="979">
        <v>2.9193140754345901</v>
      </c>
      <c r="BV10" s="979">
        <v>2.9829435493595602</v>
      </c>
      <c r="BW10" s="979">
        <v>3.03684630224281</v>
      </c>
      <c r="BX10" s="979">
        <v>3.0939993473318301</v>
      </c>
      <c r="BY10" s="979">
        <v>3.1315060095292502</v>
      </c>
      <c r="BZ10" s="979">
        <v>3.1709241734295301</v>
      </c>
      <c r="CA10" s="979">
        <v>3.1806721825302202</v>
      </c>
      <c r="CB10" s="979">
        <v>3.1784604162518999</v>
      </c>
      <c r="CC10" s="979">
        <v>3.2203626719006402</v>
      </c>
      <c r="CD10" s="979">
        <v>3.2558503521972</v>
      </c>
      <c r="CE10" s="979">
        <v>3.28250565375741</v>
      </c>
      <c r="CF10" s="979">
        <v>3.3173856724403099</v>
      </c>
      <c r="CG10" s="979">
        <v>3.34954361638431</v>
      </c>
      <c r="CH10" s="979">
        <v>3.37623500854547</v>
      </c>
      <c r="CI10" s="979">
        <v>3.4123154818409001</v>
      </c>
      <c r="CJ10" s="979">
        <v>3.4447190783209898</v>
      </c>
      <c r="CK10" s="979">
        <v>3.4751671862337199</v>
      </c>
      <c r="CL10" s="979">
        <v>3.5066179028462598</v>
      </c>
      <c r="CM10" s="979">
        <v>3.5367557450945402</v>
      </c>
      <c r="CN10" s="979">
        <v>3.5676309358667502</v>
      </c>
      <c r="CO10" s="979">
        <v>3.5991177638845602</v>
      </c>
      <c r="CP10" s="979">
        <v>3.6322035396379202</v>
      </c>
      <c r="CQ10" s="979">
        <v>3.66429204645853</v>
      </c>
      <c r="CR10" s="979">
        <v>3.69719679352876</v>
      </c>
      <c r="CS10" s="979">
        <v>3.7313531956252302</v>
      </c>
      <c r="CT10" s="979">
        <v>3.76484448121604</v>
      </c>
      <c r="CU10" s="979">
        <v>3.7986224084603002</v>
      </c>
      <c r="CV10" s="979">
        <v>3.83143978351782</v>
      </c>
      <c r="CW10" s="979">
        <v>3.86585949366602</v>
      </c>
      <c r="CX10" s="979">
        <v>3.89872365759244</v>
      </c>
      <c r="CY10" s="979">
        <v>3.9345009110540201</v>
      </c>
      <c r="CZ10" s="979">
        <v>3.9674025604052798</v>
      </c>
      <c r="DA10" s="979">
        <v>4.0019855391003603</v>
      </c>
      <c r="DB10" s="979">
        <v>4.0366274403892302</v>
      </c>
    </row>
    <row r="12" spans="1:106">
      <c r="C12" s="980"/>
      <c r="D12" s="980"/>
      <c r="E12" s="980"/>
      <c r="F12" s="980"/>
      <c r="G12" s="980"/>
      <c r="H12" s="980"/>
      <c r="I12" s="980"/>
      <c r="J12" s="980"/>
      <c r="K12" s="980"/>
      <c r="L12" s="980"/>
      <c r="M12" s="980"/>
      <c r="N12" s="980"/>
      <c r="O12" s="980"/>
      <c r="P12" s="980"/>
      <c r="Q12" s="980"/>
      <c r="R12" s="980"/>
      <c r="S12" s="980"/>
      <c r="T12" s="980"/>
      <c r="U12" s="980"/>
      <c r="V12" s="980"/>
      <c r="W12" s="980"/>
      <c r="X12" s="980"/>
      <c r="Y12" s="980"/>
      <c r="Z12" s="980"/>
      <c r="AA12" s="980"/>
      <c r="AB12" s="980"/>
      <c r="AC12" s="980"/>
      <c r="AD12" s="980"/>
      <c r="AE12" s="980"/>
      <c r="AF12" s="980"/>
      <c r="AG12" s="980"/>
      <c r="AH12" s="980"/>
      <c r="AI12" s="980"/>
      <c r="AJ12" s="980"/>
      <c r="AK12" s="980"/>
      <c r="AL12" s="980"/>
      <c r="AM12" s="980"/>
      <c r="AN12" s="980"/>
      <c r="AO12" s="980"/>
      <c r="AP12" s="980"/>
      <c r="AQ12" s="980"/>
      <c r="AR12" s="980"/>
      <c r="AS12" s="980"/>
      <c r="AT12" s="980"/>
    </row>
    <row r="13" spans="1:106">
      <c r="C13" s="980"/>
      <c r="D13" s="980"/>
      <c r="E13" s="980"/>
      <c r="F13" s="980"/>
      <c r="G13" s="980"/>
      <c r="H13" s="980"/>
      <c r="I13" s="980"/>
      <c r="J13" s="980"/>
      <c r="K13" s="980"/>
      <c r="L13" s="980"/>
      <c r="M13" s="980"/>
      <c r="N13" s="980"/>
      <c r="O13" s="980"/>
      <c r="P13" s="980"/>
      <c r="Q13" s="980"/>
      <c r="R13" s="980"/>
      <c r="S13" s="980"/>
      <c r="T13" s="980"/>
      <c r="U13" s="980"/>
      <c r="V13" s="980"/>
      <c r="W13" s="980"/>
      <c r="X13" s="980"/>
      <c r="Y13" s="980"/>
      <c r="Z13" s="980"/>
      <c r="AA13" s="980"/>
      <c r="AB13" s="980"/>
      <c r="AC13" s="980"/>
      <c r="AD13" s="980"/>
      <c r="AE13" s="980"/>
      <c r="AF13" s="980"/>
      <c r="AG13" s="980"/>
      <c r="AH13" s="980"/>
      <c r="AI13" s="980"/>
      <c r="AJ13" s="980"/>
      <c r="AK13" s="980"/>
      <c r="AL13" s="980"/>
      <c r="AM13" s="980"/>
      <c r="AN13" s="980"/>
      <c r="AO13" s="980"/>
      <c r="AP13" s="980"/>
      <c r="AQ13" s="980"/>
      <c r="AR13" s="980"/>
      <c r="AS13" s="980"/>
      <c r="AT13" s="980"/>
    </row>
    <row r="14" spans="1:106">
      <c r="C14" s="979"/>
      <c r="D14" s="979"/>
      <c r="E14" s="979"/>
      <c r="F14" s="979"/>
      <c r="G14" s="979"/>
      <c r="H14" s="979"/>
      <c r="I14" s="979"/>
      <c r="J14" s="979"/>
      <c r="K14" s="979"/>
      <c r="L14" s="979"/>
      <c r="M14" s="979"/>
      <c r="N14" s="979"/>
      <c r="O14" s="979"/>
      <c r="P14" s="979"/>
      <c r="Q14" s="979"/>
      <c r="R14" s="979"/>
      <c r="S14" s="979"/>
      <c r="T14" s="979"/>
      <c r="U14" s="979"/>
      <c r="V14" s="979"/>
      <c r="W14" s="979"/>
      <c r="X14" s="979"/>
      <c r="Y14" s="979"/>
      <c r="Z14" s="979"/>
      <c r="AA14" s="979"/>
      <c r="AB14" s="979"/>
      <c r="AC14" s="979"/>
      <c r="AD14" s="979"/>
      <c r="AE14" s="979"/>
      <c r="AF14" s="979"/>
      <c r="AG14" s="979"/>
      <c r="AH14" s="979"/>
      <c r="AI14" s="979"/>
      <c r="AJ14" s="979"/>
      <c r="AK14" s="979"/>
      <c r="AL14" s="979"/>
      <c r="AM14" s="979"/>
      <c r="AN14" s="979"/>
      <c r="AO14" s="979"/>
      <c r="AP14" s="979"/>
      <c r="AQ14" s="979"/>
      <c r="AR14" s="979"/>
      <c r="AS14" s="979"/>
      <c r="AT14" s="979"/>
    </row>
    <row r="15" spans="1:106">
      <c r="C15" s="979"/>
      <c r="D15" s="979"/>
      <c r="E15" s="979"/>
      <c r="F15" s="979"/>
      <c r="G15" s="979"/>
      <c r="H15" s="979"/>
      <c r="I15" s="979"/>
      <c r="J15" s="979"/>
      <c r="K15" s="979"/>
      <c r="L15" s="979"/>
      <c r="M15" s="979"/>
      <c r="N15" s="979"/>
      <c r="O15" s="979"/>
      <c r="P15" s="979"/>
      <c r="Q15" s="979"/>
      <c r="R15" s="979"/>
      <c r="S15" s="979"/>
      <c r="T15" s="979"/>
      <c r="U15" s="979"/>
      <c r="V15" s="979"/>
      <c r="W15" s="979"/>
      <c r="X15" s="979"/>
      <c r="Y15" s="979"/>
      <c r="Z15" s="979"/>
      <c r="AA15" s="979"/>
      <c r="AB15" s="979"/>
      <c r="AC15" s="979"/>
      <c r="AD15" s="979"/>
      <c r="AE15" s="979"/>
      <c r="AF15" s="979"/>
      <c r="AG15" s="979"/>
      <c r="AH15" s="979"/>
      <c r="AI15" s="979"/>
      <c r="AJ15" s="979"/>
      <c r="AK15" s="979"/>
      <c r="AL15" s="979"/>
      <c r="AM15" s="979"/>
      <c r="AN15" s="979"/>
      <c r="AO15" s="979"/>
      <c r="AP15" s="979"/>
      <c r="AQ15" s="979"/>
      <c r="AR15" s="979"/>
      <c r="AS15" s="979"/>
      <c r="AT15" s="979"/>
    </row>
    <row r="16" spans="1:106">
      <c r="C16" s="979"/>
      <c r="D16" s="979"/>
      <c r="E16" s="979"/>
      <c r="F16" s="979"/>
      <c r="G16" s="979"/>
      <c r="H16" s="979"/>
      <c r="I16" s="979"/>
      <c r="J16" s="979"/>
      <c r="K16" s="979"/>
      <c r="L16" s="979"/>
      <c r="M16" s="979"/>
      <c r="N16" s="979"/>
      <c r="O16" s="979"/>
      <c r="P16" s="979"/>
      <c r="Q16" s="979"/>
      <c r="R16" s="979"/>
      <c r="S16" s="979"/>
      <c r="T16" s="979"/>
      <c r="U16" s="979"/>
      <c r="V16" s="979"/>
      <c r="W16" s="979"/>
      <c r="X16" s="979"/>
      <c r="Y16" s="979"/>
      <c r="Z16" s="979"/>
      <c r="AA16" s="979"/>
      <c r="AB16" s="979"/>
      <c r="AC16" s="979"/>
      <c r="AD16" s="979"/>
      <c r="AE16" s="979"/>
      <c r="AF16" s="979"/>
      <c r="AG16" s="979"/>
      <c r="AH16" s="979"/>
      <c r="AI16" s="979"/>
      <c r="AJ16" s="979"/>
      <c r="AK16" s="979"/>
      <c r="AL16" s="979"/>
      <c r="AM16" s="979"/>
      <c r="AN16" s="979"/>
      <c r="AO16" s="979"/>
      <c r="AP16" s="979"/>
      <c r="AQ16" s="979"/>
      <c r="AR16" s="979"/>
      <c r="AS16" s="979"/>
      <c r="AT16" s="979"/>
    </row>
    <row r="17" spans="3:96">
      <c r="C17" s="981"/>
      <c r="D17" s="981"/>
      <c r="E17" s="981"/>
      <c r="F17" s="981"/>
      <c r="G17" s="981"/>
      <c r="H17" s="981"/>
      <c r="I17" s="981"/>
      <c r="J17" s="981"/>
      <c r="K17" s="981"/>
      <c r="L17" s="981"/>
      <c r="M17" s="981"/>
      <c r="N17" s="981"/>
      <c r="O17" s="981"/>
      <c r="P17" s="981"/>
      <c r="Q17" s="981"/>
      <c r="R17" s="981"/>
      <c r="S17" s="981"/>
      <c r="T17" s="981"/>
      <c r="U17" s="981"/>
      <c r="V17" s="981"/>
      <c r="W17" s="981"/>
      <c r="X17" s="981"/>
      <c r="Y17" s="981"/>
      <c r="Z17" s="981"/>
      <c r="AA17" s="981"/>
      <c r="AB17" s="981"/>
      <c r="AC17" s="981"/>
      <c r="AD17" s="981"/>
      <c r="AE17" s="981"/>
      <c r="AF17" s="981"/>
      <c r="AG17" s="981"/>
      <c r="AH17" s="981"/>
      <c r="AI17" s="981"/>
      <c r="AJ17" s="981"/>
      <c r="AK17" s="981"/>
      <c r="AL17" s="981"/>
      <c r="AM17" s="981"/>
      <c r="AN17" s="981"/>
      <c r="AO17" s="981"/>
      <c r="AP17" s="981"/>
    </row>
    <row r="18" spans="3:96">
      <c r="CG18" s="950" t="s">
        <v>711</v>
      </c>
      <c r="CH18" s="951"/>
      <c r="CI18" s="951"/>
      <c r="CJ18" s="952" t="s">
        <v>712</v>
      </c>
      <c r="CK18" s="953"/>
      <c r="CL18" s="953"/>
      <c r="CM18" s="953"/>
      <c r="CN18" s="953"/>
      <c r="CO18" s="953"/>
      <c r="CP18" s="951"/>
      <c r="CQ18" s="951"/>
      <c r="CR18" s="951"/>
    </row>
    <row r="19" spans="3:96">
      <c r="CG19" s="954"/>
      <c r="CH19" s="955"/>
      <c r="CI19" s="955"/>
      <c r="CJ19" s="955"/>
      <c r="CK19" s="955"/>
      <c r="CL19" s="955"/>
      <c r="CM19" s="955"/>
      <c r="CN19" s="955"/>
      <c r="CO19" s="955"/>
      <c r="CP19" s="955"/>
      <c r="CQ19" s="955"/>
      <c r="CR19" s="956"/>
    </row>
    <row r="20" spans="3:96">
      <c r="CG20" s="957"/>
      <c r="CH20" s="958" t="s">
        <v>103</v>
      </c>
      <c r="CI20" s="959" t="s">
        <v>722</v>
      </c>
      <c r="CJ20" s="951"/>
      <c r="CK20" s="951"/>
      <c r="CL20" s="951"/>
      <c r="CM20" s="951"/>
      <c r="CN20" s="951"/>
      <c r="CO20" s="951"/>
      <c r="CP20" s="951"/>
      <c r="CQ20" s="951"/>
      <c r="CR20" s="960"/>
    </row>
    <row r="21" spans="3:96">
      <c r="CG21" s="957"/>
      <c r="CH21" s="951"/>
      <c r="CI21" s="1047" t="s">
        <v>91</v>
      </c>
      <c r="CJ21" s="1047"/>
      <c r="CK21" s="1047"/>
      <c r="CL21" s="1047"/>
      <c r="CM21" s="951"/>
      <c r="CN21" s="951"/>
      <c r="CO21" s="951"/>
      <c r="CP21" s="951"/>
      <c r="CQ21" s="951"/>
      <c r="CR21" s="961" t="s">
        <v>104</v>
      </c>
    </row>
    <row r="22" spans="3:96">
      <c r="CG22" s="957"/>
      <c r="CH22" s="951"/>
      <c r="CI22" s="1048">
        <f>CH9</f>
        <v>3.27110127859771</v>
      </c>
      <c r="CJ22" s="1049"/>
      <c r="CK22" s="1049"/>
      <c r="CL22" s="1049"/>
      <c r="CM22" s="951"/>
      <c r="CN22" s="951"/>
      <c r="CO22" s="951"/>
      <c r="CP22" s="951"/>
      <c r="CQ22" s="951"/>
      <c r="CR22" s="962">
        <f>AVERAGE(CI22:CL22)</f>
        <v>3.27110127859771</v>
      </c>
    </row>
    <row r="23" spans="3:96">
      <c r="CG23" s="957"/>
      <c r="CH23" s="951"/>
      <c r="CI23" s="951"/>
      <c r="CJ23" s="951"/>
      <c r="CK23" s="951"/>
      <c r="CL23" s="951"/>
      <c r="CM23" s="951"/>
      <c r="CN23" s="951"/>
      <c r="CO23" s="951"/>
      <c r="CP23" s="951"/>
      <c r="CQ23" s="951"/>
      <c r="CR23" s="963"/>
    </row>
    <row r="24" spans="3:96">
      <c r="CG24" s="1064" t="s">
        <v>105</v>
      </c>
      <c r="CH24" s="1065"/>
      <c r="CI24" s="1065"/>
      <c r="CJ24" s="951" t="s">
        <v>724</v>
      </c>
      <c r="CK24" s="951"/>
      <c r="CL24" s="951"/>
      <c r="CM24" s="951"/>
      <c r="CN24" s="951"/>
      <c r="CO24" s="951"/>
      <c r="CP24" s="951"/>
      <c r="CQ24" s="951"/>
      <c r="CR24" s="963"/>
    </row>
    <row r="25" spans="3:96">
      <c r="CG25" s="964"/>
      <c r="CH25" s="958"/>
      <c r="CI25" s="1050"/>
      <c r="CJ25" s="1050"/>
      <c r="CK25" s="1050"/>
      <c r="CL25" s="1050"/>
      <c r="CM25" s="1051"/>
      <c r="CN25" s="1051"/>
      <c r="CO25" s="1051"/>
      <c r="CP25" s="1051"/>
      <c r="CQ25" s="951"/>
      <c r="CR25" s="963"/>
    </row>
    <row r="26" spans="3:96">
      <c r="CG26" s="964"/>
      <c r="CH26" s="958"/>
      <c r="CI26" s="623" t="str">
        <f>CE7</f>
        <v>2024Q1</v>
      </c>
      <c r="CJ26" s="623" t="str">
        <f t="shared" ref="CJ26:CP26" si="0">CF7</f>
        <v>2024Q2</v>
      </c>
      <c r="CK26" s="623" t="str">
        <f t="shared" si="0"/>
        <v>2024Q3</v>
      </c>
      <c r="CL26" s="623" t="str">
        <f t="shared" si="0"/>
        <v>2024Q4</v>
      </c>
      <c r="CM26" s="623" t="str">
        <f t="shared" si="0"/>
        <v>2025Q1</v>
      </c>
      <c r="CN26" s="623" t="str">
        <f t="shared" si="0"/>
        <v>2025Q2</v>
      </c>
      <c r="CO26" s="623" t="str">
        <f t="shared" si="0"/>
        <v>2025Q3</v>
      </c>
      <c r="CP26" s="623" t="str">
        <f t="shared" si="0"/>
        <v>2025Q4</v>
      </c>
      <c r="CQ26" s="951"/>
      <c r="CR26" s="963"/>
    </row>
    <row r="27" spans="3:96">
      <c r="CG27" s="957"/>
      <c r="CH27" s="951"/>
      <c r="CI27" s="1052">
        <f>CI9</f>
        <v>3.2944309740921498</v>
      </c>
      <c r="CJ27" s="1052">
        <f t="shared" ref="CJ27:CO27" si="1">CJ9</f>
        <v>3.3143993617605201</v>
      </c>
      <c r="CK27" s="1052">
        <f t="shared" si="1"/>
        <v>3.3322344903885601</v>
      </c>
      <c r="CL27" s="1052">
        <f t="shared" si="1"/>
        <v>3.35046325499723</v>
      </c>
      <c r="CM27" s="1052">
        <f t="shared" si="1"/>
        <v>3.3669734300441201</v>
      </c>
      <c r="CN27" s="1052">
        <f t="shared" si="1"/>
        <v>3.3835781064221901</v>
      </c>
      <c r="CO27" s="1052">
        <f t="shared" si="1"/>
        <v>3.40126999342383</v>
      </c>
      <c r="CP27" s="1052">
        <f>CP9</f>
        <v>3.4206485932531399</v>
      </c>
      <c r="CQ27" s="951"/>
      <c r="CR27" s="962">
        <f>AVERAGE(CI27:CP27)</f>
        <v>3.357999775547718</v>
      </c>
    </row>
    <row r="28" spans="3:96">
      <c r="CG28" s="957"/>
      <c r="CH28" s="951"/>
      <c r="CI28" s="951"/>
      <c r="CJ28" s="951"/>
      <c r="CK28" s="951"/>
      <c r="CL28" s="951"/>
      <c r="CM28" s="951"/>
      <c r="CN28" s="951"/>
      <c r="CO28" s="951"/>
      <c r="CP28" s="951"/>
      <c r="CQ28" s="951"/>
      <c r="CR28" s="963"/>
    </row>
    <row r="29" spans="3:96">
      <c r="CG29" s="957"/>
      <c r="CH29" s="951"/>
      <c r="CI29" s="951"/>
      <c r="CJ29" s="951"/>
      <c r="CK29" s="951"/>
      <c r="CL29" s="951"/>
      <c r="CM29" s="951"/>
      <c r="CN29" s="951"/>
      <c r="CO29" s="951"/>
      <c r="CP29" s="951"/>
      <c r="CQ29" s="965" t="s">
        <v>106</v>
      </c>
      <c r="CR29" s="1053">
        <f>(CR27-CR22)/CR22</f>
        <v>2.6565517099262824E-2</v>
      </c>
    </row>
    <row r="30" spans="3:96">
      <c r="CG30" s="967"/>
      <c r="CH30" s="968"/>
      <c r="CI30" s="968"/>
      <c r="CJ30" s="968"/>
      <c r="CK30" s="968"/>
      <c r="CL30" s="968"/>
      <c r="CM30" s="968"/>
      <c r="CN30" s="968"/>
      <c r="CO30" s="968"/>
      <c r="CP30" s="968"/>
      <c r="CQ30" s="968"/>
      <c r="CR30" s="969"/>
    </row>
    <row r="33" spans="88:98">
      <c r="CT33" s="1055"/>
    </row>
    <row r="34" spans="88:98">
      <c r="CT34" s="1056"/>
    </row>
    <row r="35" spans="88:98">
      <c r="CT35" s="1055"/>
    </row>
    <row r="36" spans="88:98">
      <c r="CT36" s="1055"/>
    </row>
    <row r="38" spans="88:98">
      <c r="CJ38" s="1057"/>
      <c r="CK38" s="1056"/>
    </row>
    <row r="39" spans="88:98">
      <c r="CJ39" s="1058"/>
    </row>
    <row r="45" spans="88:98">
      <c r="CL45" s="1061"/>
      <c r="CM45" s="1061"/>
      <c r="CN45" s="1061"/>
      <c r="CO45" s="1059"/>
    </row>
    <row r="46" spans="88:98">
      <c r="CL46" s="977"/>
      <c r="CM46" s="977"/>
      <c r="CN46" s="977"/>
      <c r="CO46" s="1060"/>
    </row>
    <row r="47" spans="88:98">
      <c r="CL47" s="1061"/>
      <c r="CM47" s="1061"/>
      <c r="CN47" s="1061"/>
      <c r="CO47" s="1059"/>
    </row>
  </sheetData>
  <mergeCells count="2">
    <mergeCell ref="A1:B1"/>
    <mergeCell ref="CG24:CI24"/>
  </mergeCells>
  <phoneticPr fontId="67" type="noConversion"/>
  <pageMargins left="0.25" right="0.2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5F99E-4144-44A1-8197-6A64B317E604}">
  <sheetPr>
    <tabColor rgb="FF92D050"/>
  </sheetPr>
  <dimension ref="B1:AJ92"/>
  <sheetViews>
    <sheetView zoomScaleNormal="100" workbookViewId="0">
      <selection activeCell="Z32" sqref="Z32"/>
    </sheetView>
  </sheetViews>
  <sheetFormatPr defaultColWidth="9.140625" defaultRowHeight="15"/>
  <cols>
    <col min="2" max="2" width="30.85546875" customWidth="1"/>
    <col min="3" max="3" width="15.42578125" customWidth="1"/>
    <col min="4" max="4" width="13.85546875" bestFit="1" customWidth="1"/>
    <col min="5" max="5" width="12.140625" customWidth="1"/>
    <col min="6" max="7" width="12.140625" hidden="1" customWidth="1"/>
    <col min="8" max="8" width="9.140625" bestFit="1" customWidth="1"/>
    <col min="9" max="9" width="30.85546875" hidden="1" customWidth="1"/>
    <col min="10" max="10" width="15.42578125" hidden="1" customWidth="1"/>
    <col min="11" max="11" width="13.85546875" hidden="1" customWidth="1"/>
    <col min="12" max="14" width="12.140625" hidden="1" customWidth="1"/>
    <col min="15" max="15" width="10.42578125" hidden="1" customWidth="1"/>
    <col min="16" max="16" width="30.85546875" hidden="1" customWidth="1"/>
    <col min="17" max="17" width="15.42578125" hidden="1" customWidth="1"/>
    <col min="18" max="18" width="13.85546875" hidden="1" customWidth="1"/>
    <col min="19" max="19" width="12.140625" hidden="1" customWidth="1"/>
    <col min="20" max="20" width="9.5703125" hidden="1" customWidth="1"/>
    <col min="21" max="21" width="12" hidden="1" customWidth="1"/>
    <col min="22" max="22" width="9.140625" bestFit="1" customWidth="1"/>
    <col min="24" max="24" width="37.85546875" bestFit="1" customWidth="1"/>
    <col min="25" max="25" width="10" bestFit="1" customWidth="1"/>
  </cols>
  <sheetData>
    <row r="1" spans="2:33" ht="15.75" thickBot="1">
      <c r="B1" s="1114"/>
      <c r="C1" s="1114"/>
      <c r="D1" s="1114"/>
      <c r="E1" s="1114"/>
      <c r="F1" s="476"/>
      <c r="G1" s="476"/>
      <c r="H1" s="565"/>
      <c r="I1" s="1114"/>
      <c r="J1" s="1114"/>
      <c r="K1" s="1114"/>
      <c r="L1" s="1114"/>
      <c r="M1" s="476"/>
      <c r="N1" s="476"/>
      <c r="T1" s="476"/>
    </row>
    <row r="2" spans="2:33" ht="15.75" customHeight="1" thickBot="1">
      <c r="B2" s="1118" t="s">
        <v>634</v>
      </c>
      <c r="C2" s="1119"/>
      <c r="D2" s="1119"/>
      <c r="E2" s="1120"/>
      <c r="F2" s="477" t="s">
        <v>298</v>
      </c>
      <c r="G2" s="478"/>
      <c r="H2" s="565"/>
      <c r="I2" s="1115" t="s">
        <v>516</v>
      </c>
      <c r="J2" s="1116"/>
      <c r="K2" s="1116"/>
      <c r="L2" s="1117"/>
      <c r="M2" s="477" t="s">
        <v>298</v>
      </c>
      <c r="N2" s="478"/>
    </row>
    <row r="3" spans="2:33" ht="15" customHeight="1" thickBot="1">
      <c r="B3" s="479"/>
      <c r="C3" s="480" t="s">
        <v>299</v>
      </c>
      <c r="D3" s="481" t="s">
        <v>300</v>
      </c>
      <c r="E3" s="482" t="s">
        <v>301</v>
      </c>
      <c r="F3" s="483"/>
      <c r="G3" s="484"/>
      <c r="H3" s="565"/>
      <c r="I3" s="479"/>
      <c r="J3" s="480" t="s">
        <v>299</v>
      </c>
      <c r="K3" s="481" t="s">
        <v>300</v>
      </c>
      <c r="L3" s="482" t="s">
        <v>301</v>
      </c>
      <c r="M3" s="483"/>
      <c r="N3" s="484"/>
      <c r="X3" s="1099" t="s">
        <v>302</v>
      </c>
      <c r="Y3" s="1100"/>
      <c r="Z3" s="1100"/>
      <c r="AA3" s="1100"/>
      <c r="AB3" s="1100"/>
      <c r="AC3" s="1100"/>
      <c r="AD3" s="1100"/>
      <c r="AE3" s="1100"/>
      <c r="AF3" s="1100"/>
      <c r="AG3" s="1101"/>
    </row>
    <row r="4" spans="2:33" ht="15" customHeight="1" thickBot="1">
      <c r="B4" s="465" t="s">
        <v>303</v>
      </c>
      <c r="C4" s="466">
        <f t="shared" ref="C4:C7" si="0">Y6</f>
        <v>79415.232000000018</v>
      </c>
      <c r="D4" s="467">
        <f>AVERAGE($Z$25:$AG$25)*(SUM(D5:D7))</f>
        <v>0.18477525906944375</v>
      </c>
      <c r="E4" s="382">
        <f t="shared" ref="E4:E9" si="1">C4*D4</f>
        <v>14673.970066859983</v>
      </c>
      <c r="F4" s="472">
        <f t="shared" ref="F4:F7" si="2">D4*40</f>
        <v>7.3910103627777506</v>
      </c>
      <c r="G4" s="473"/>
      <c r="H4" s="565"/>
      <c r="I4" s="465" t="s">
        <v>303</v>
      </c>
      <c r="J4" s="485" t="e">
        <f>#REF!</f>
        <v>#REF!</v>
      </c>
      <c r="K4" s="467">
        <f>AVERAGE($Z$25:$AG$25)*(SUM(K5:K7))</f>
        <v>0.18477525906944375</v>
      </c>
      <c r="L4" s="382" t="e">
        <f t="shared" ref="L4:L9" si="3">J4*K4</f>
        <v>#REF!</v>
      </c>
      <c r="M4" s="472">
        <f t="shared" ref="M4:M9" si="4">K4*40</f>
        <v>7.3910103627777506</v>
      </c>
      <c r="N4" s="473"/>
      <c r="X4" s="1102" t="s">
        <v>304</v>
      </c>
      <c r="Y4" s="1103"/>
      <c r="Z4" s="1106" t="s">
        <v>305</v>
      </c>
      <c r="AA4" s="1107"/>
      <c r="AB4" s="1107"/>
      <c r="AC4" s="1107"/>
      <c r="AD4" s="1107"/>
      <c r="AE4" s="1107"/>
      <c r="AF4" s="1107"/>
      <c r="AG4" s="1108"/>
    </row>
    <row r="5" spans="2:33" ht="15.75" thickBot="1">
      <c r="B5" s="465" t="s">
        <v>460</v>
      </c>
      <c r="C5" s="466">
        <f t="shared" si="0"/>
        <v>101383.77600000001</v>
      </c>
      <c r="D5" s="467">
        <f>0.375*2/3</f>
        <v>0.25</v>
      </c>
      <c r="E5" s="382">
        <f t="shared" si="1"/>
        <v>25345.944000000003</v>
      </c>
      <c r="F5" s="472">
        <f t="shared" si="2"/>
        <v>10</v>
      </c>
      <c r="G5" s="473"/>
      <c r="I5" s="465" t="s">
        <v>460</v>
      </c>
      <c r="J5" s="485" t="e">
        <f>#REF!</f>
        <v>#REF!</v>
      </c>
      <c r="K5" s="467">
        <f>0.375*2/3</f>
        <v>0.25</v>
      </c>
      <c r="L5" s="382" t="e">
        <f t="shared" si="3"/>
        <v>#REF!</v>
      </c>
      <c r="M5" s="472">
        <f t="shared" si="4"/>
        <v>10</v>
      </c>
      <c r="N5" s="473"/>
      <c r="X5" s="1104"/>
      <c r="Y5" s="1105"/>
      <c r="Z5" s="486" t="s">
        <v>307</v>
      </c>
      <c r="AA5" s="486" t="s">
        <v>308</v>
      </c>
      <c r="AB5" s="486" t="s">
        <v>309</v>
      </c>
      <c r="AC5" s="486" t="s">
        <v>310</v>
      </c>
      <c r="AD5" s="486" t="s">
        <v>311</v>
      </c>
      <c r="AE5" s="486" t="s">
        <v>312</v>
      </c>
      <c r="AF5" s="486" t="s">
        <v>313</v>
      </c>
      <c r="AG5" s="486" t="s">
        <v>314</v>
      </c>
    </row>
    <row r="6" spans="2:33">
      <c r="B6" s="465" t="s">
        <v>523</v>
      </c>
      <c r="C6" s="466">
        <f t="shared" si="0"/>
        <v>80606.448000000004</v>
      </c>
      <c r="D6" s="467">
        <f>1*2/3</f>
        <v>0.66666666666666663</v>
      </c>
      <c r="E6" s="382">
        <f t="shared" si="1"/>
        <v>53737.631999999998</v>
      </c>
      <c r="F6" s="472">
        <f t="shared" si="2"/>
        <v>26.666666666666664</v>
      </c>
      <c r="G6" s="473"/>
      <c r="I6" s="465" t="s">
        <v>523</v>
      </c>
      <c r="J6" s="485" t="e">
        <f>#REF!</f>
        <v>#REF!</v>
      </c>
      <c r="K6" s="467">
        <f>1*2/3</f>
        <v>0.66666666666666663</v>
      </c>
      <c r="L6" s="382" t="e">
        <f t="shared" si="3"/>
        <v>#REF!</v>
      </c>
      <c r="M6" s="472">
        <f t="shared" si="4"/>
        <v>26.666666666666664</v>
      </c>
      <c r="N6" s="473"/>
      <c r="X6" s="487" t="s">
        <v>303</v>
      </c>
      <c r="Y6" s="852">
        <f>'M2022 BLS SALARY CHART (53_PCT)'!C22</f>
        <v>79415.232000000018</v>
      </c>
      <c r="Z6" s="489">
        <v>0.20793518578803963</v>
      </c>
      <c r="AA6" s="490">
        <v>0.20793518578803963</v>
      </c>
      <c r="AB6" s="490">
        <v>0.45454545454545453</v>
      </c>
      <c r="AC6" s="490">
        <v>0.17141009055627424</v>
      </c>
      <c r="AD6" s="490">
        <v>0.57834862385321095</v>
      </c>
      <c r="AE6" s="490">
        <v>0.69090909090909092</v>
      </c>
      <c r="AF6" s="490">
        <v>0.54186582691334406</v>
      </c>
      <c r="AG6" s="491">
        <v>0.56619472021660655</v>
      </c>
    </row>
    <row r="7" spans="2:33">
      <c r="B7" s="465" t="s">
        <v>360</v>
      </c>
      <c r="C7" s="466">
        <f t="shared" si="0"/>
        <v>64330.864000000001</v>
      </c>
      <c r="D7" s="467">
        <f>0.5*2/3</f>
        <v>0.33333333333333331</v>
      </c>
      <c r="E7" s="382">
        <f t="shared" si="1"/>
        <v>21443.621333333333</v>
      </c>
      <c r="F7" s="472">
        <f t="shared" si="2"/>
        <v>13.333333333333332</v>
      </c>
      <c r="G7" s="473"/>
      <c r="I7" s="566" t="s">
        <v>360</v>
      </c>
      <c r="J7" s="485" t="e">
        <f>#REF!</f>
        <v>#REF!</v>
      </c>
      <c r="K7" s="467">
        <f>0.5*2/3</f>
        <v>0.33333333333333331</v>
      </c>
      <c r="L7" s="382" t="e">
        <f t="shared" si="3"/>
        <v>#REF!</v>
      </c>
      <c r="M7" s="472">
        <f t="shared" si="4"/>
        <v>13.333333333333332</v>
      </c>
      <c r="N7" s="473"/>
      <c r="X7" s="492" t="s">
        <v>460</v>
      </c>
      <c r="Y7" s="852">
        <f>'M2022 BLS SALARY CHART (53_PCT)'!C28</f>
        <v>101383.77600000001</v>
      </c>
      <c r="Z7" s="493"/>
      <c r="AA7" s="494"/>
      <c r="AB7" s="494"/>
      <c r="AC7" s="494"/>
      <c r="AD7" s="494"/>
      <c r="AE7" s="494"/>
      <c r="AF7" s="494"/>
      <c r="AG7" s="495"/>
    </row>
    <row r="8" spans="2:33">
      <c r="B8" s="465" t="str">
        <f>X12</f>
        <v>Clerical Support</v>
      </c>
      <c r="C8" s="466">
        <f>Y12</f>
        <v>41600</v>
      </c>
      <c r="D8" s="467">
        <v>0.09</v>
      </c>
      <c r="E8" s="382">
        <f>D8*C8</f>
        <v>3744</v>
      </c>
      <c r="F8" s="472" t="e">
        <f>#REF!*40</f>
        <v>#REF!</v>
      </c>
      <c r="G8" s="473"/>
      <c r="I8" s="465" t="s">
        <v>520</v>
      </c>
      <c r="J8" s="567" t="e">
        <f>#REF!</f>
        <v>#REF!</v>
      </c>
      <c r="K8" s="467">
        <f>$Y$26*(SUM(K5:K7))</f>
        <v>9.3165720430023191E-2</v>
      </c>
      <c r="L8" s="382" t="e">
        <f t="shared" si="3"/>
        <v>#REF!</v>
      </c>
      <c r="M8" s="472">
        <f t="shared" si="4"/>
        <v>3.7266288172009276</v>
      </c>
      <c r="N8" s="473"/>
      <c r="X8" s="492" t="s">
        <v>319</v>
      </c>
      <c r="Y8" s="852">
        <f>'M2022 BLS SALARY CHART (53_PCT)'!C18</f>
        <v>80606.448000000004</v>
      </c>
      <c r="Z8" s="493"/>
      <c r="AA8" s="494"/>
      <c r="AB8" s="494">
        <v>1.1357541478464965</v>
      </c>
      <c r="AC8" s="494">
        <v>0.32923673997412672</v>
      </c>
      <c r="AD8" s="494">
        <v>2.0403669724770643</v>
      </c>
      <c r="AE8" s="494">
        <v>1.9335664335664335</v>
      </c>
      <c r="AF8" s="494">
        <v>1.8452173424056681</v>
      </c>
      <c r="AG8" s="495">
        <v>1.2765117328519857</v>
      </c>
    </row>
    <row r="9" spans="2:33">
      <c r="B9" s="465" t="s">
        <v>521</v>
      </c>
      <c r="C9" s="466">
        <f>Y11</f>
        <v>65676.416000000012</v>
      </c>
      <c r="D9" s="467">
        <f>$Y$27*(SUM(D5:D7))</f>
        <v>0.15625</v>
      </c>
      <c r="E9" s="382">
        <f t="shared" si="1"/>
        <v>10261.940000000002</v>
      </c>
      <c r="F9" s="472">
        <f>D9*40</f>
        <v>6.25</v>
      </c>
      <c r="G9" s="473"/>
      <c r="I9" s="465" t="s">
        <v>521</v>
      </c>
      <c r="J9" s="567" t="e">
        <f>#REF!</f>
        <v>#REF!</v>
      </c>
      <c r="K9" s="467">
        <f>$Y$27*(SUM(K5:K7))</f>
        <v>0.15625</v>
      </c>
      <c r="L9" s="382" t="e">
        <f t="shared" si="3"/>
        <v>#REF!</v>
      </c>
      <c r="M9" s="472">
        <f t="shared" si="4"/>
        <v>6.25</v>
      </c>
      <c r="N9" s="473"/>
      <c r="X9" s="492" t="s">
        <v>321</v>
      </c>
      <c r="Y9" s="852">
        <f>'M2022 BLS SALARY CHART (53_PCT)'!C14</f>
        <v>64330.864000000001</v>
      </c>
      <c r="Z9" s="493">
        <v>0.45</v>
      </c>
      <c r="AA9" s="494">
        <v>0.7</v>
      </c>
      <c r="AB9" s="494">
        <v>0.15</v>
      </c>
      <c r="AC9" s="494">
        <v>0.7</v>
      </c>
      <c r="AD9" s="494"/>
      <c r="AE9" s="494">
        <v>0.25</v>
      </c>
      <c r="AF9" s="494">
        <v>1.1000000000000001</v>
      </c>
      <c r="AG9" s="495">
        <v>0.9</v>
      </c>
    </row>
    <row r="10" spans="2:33">
      <c r="B10" s="463"/>
      <c r="C10" s="464"/>
      <c r="D10" s="467"/>
      <c r="E10" s="382"/>
      <c r="F10" s="470"/>
      <c r="G10" s="471"/>
      <c r="I10" s="463"/>
      <c r="J10" s="464"/>
      <c r="K10" s="467"/>
      <c r="L10" s="382"/>
      <c r="M10" s="470"/>
      <c r="N10" s="471"/>
      <c r="X10" s="496" t="s">
        <v>458</v>
      </c>
      <c r="Y10" s="852">
        <f>'M2022 BLS SALARY CHART (53_PCT)'!C8</f>
        <v>53206.566400000003</v>
      </c>
      <c r="Z10" s="493">
        <v>0.95</v>
      </c>
      <c r="AA10" s="494">
        <v>1.62</v>
      </c>
      <c r="AB10" s="494">
        <v>1.05</v>
      </c>
      <c r="AC10" s="494">
        <v>1.91</v>
      </c>
      <c r="AD10" s="494"/>
      <c r="AE10" s="494">
        <v>1.21</v>
      </c>
      <c r="AF10" s="494">
        <v>3.79</v>
      </c>
      <c r="AG10" s="495">
        <v>2.39</v>
      </c>
    </row>
    <row r="11" spans="2:33">
      <c r="B11" s="463"/>
      <c r="C11" s="464"/>
      <c r="D11" s="467"/>
      <c r="E11" s="382"/>
      <c r="F11" s="470"/>
      <c r="G11" s="471"/>
      <c r="I11" s="463"/>
      <c r="J11" s="464"/>
      <c r="K11" s="467"/>
      <c r="L11" s="382"/>
      <c r="M11" s="470"/>
      <c r="N11" s="471"/>
      <c r="X11" s="496" t="s">
        <v>465</v>
      </c>
      <c r="Y11" s="852">
        <f>'M2022 BLS SALARY CHART (53_PCT)'!C16</f>
        <v>65676.416000000012</v>
      </c>
      <c r="Z11" s="493"/>
      <c r="AA11" s="494"/>
      <c r="AB11" s="494"/>
      <c r="AC11" s="494"/>
      <c r="AD11" s="494"/>
      <c r="AE11" s="494"/>
      <c r="AF11" s="494"/>
      <c r="AG11" s="495"/>
    </row>
    <row r="12" spans="2:33" ht="15.75" thickBot="1">
      <c r="B12" s="497" t="s">
        <v>326</v>
      </c>
      <c r="C12" s="498"/>
      <c r="D12" s="499">
        <f>SUM(D4:D9)</f>
        <v>1.6810252590694437</v>
      </c>
      <c r="E12" s="500">
        <f>SUM(E4:E9)</f>
        <v>129207.10740019332</v>
      </c>
      <c r="F12" s="501"/>
      <c r="G12" s="502"/>
      <c r="I12" s="497" t="s">
        <v>326</v>
      </c>
      <c r="J12" s="498"/>
      <c r="K12" s="499">
        <f>SUM(K4:K9)</f>
        <v>1.6841909794994667</v>
      </c>
      <c r="L12" s="500" t="e">
        <f>SUM(L4:L9)</f>
        <v>#REF!</v>
      </c>
      <c r="M12" s="501"/>
      <c r="N12" s="502"/>
      <c r="X12" s="507" t="s">
        <v>620</v>
      </c>
      <c r="Y12" s="852">
        <f>'M2022 BLS SALARY CHART (53_PCT)'!C36</f>
        <v>41600</v>
      </c>
      <c r="Z12" s="508">
        <v>0.13543146969089426</v>
      </c>
      <c r="AA12" s="509">
        <v>0.13543146969089426</v>
      </c>
      <c r="AB12" s="509">
        <v>0.25</v>
      </c>
      <c r="AC12" s="509">
        <v>0.16558861578266496</v>
      </c>
      <c r="AD12" s="509">
        <v>0.13064220183486239</v>
      </c>
      <c r="AE12" s="509">
        <v>0.20489510489510487</v>
      </c>
      <c r="AF12" s="509">
        <v>0.33456109767755715</v>
      </c>
      <c r="AG12" s="510">
        <v>0.47354467509025272</v>
      </c>
    </row>
    <row r="13" spans="2:33" ht="15.75" thickBot="1">
      <c r="B13" s="503"/>
      <c r="C13" s="504"/>
      <c r="D13" s="505"/>
      <c r="E13" s="506"/>
      <c r="F13" s="501"/>
      <c r="G13" s="502"/>
      <c r="I13" s="503"/>
      <c r="J13" s="504"/>
      <c r="K13" s="505"/>
      <c r="L13" s="506"/>
      <c r="M13" s="501"/>
      <c r="N13" s="502"/>
      <c r="X13" s="1106" t="s">
        <v>325</v>
      </c>
      <c r="Y13" s="1109"/>
      <c r="Z13" s="514" t="s">
        <v>307</v>
      </c>
      <c r="AA13" s="486" t="s">
        <v>308</v>
      </c>
      <c r="AB13" s="486" t="s">
        <v>309</v>
      </c>
      <c r="AC13" s="486" t="s">
        <v>310</v>
      </c>
      <c r="AD13" s="486" t="s">
        <v>311</v>
      </c>
      <c r="AE13" s="486" t="s">
        <v>312</v>
      </c>
      <c r="AF13" s="486" t="s">
        <v>313</v>
      </c>
      <c r="AG13" s="486" t="s">
        <v>314</v>
      </c>
    </row>
    <row r="14" spans="2:33" ht="15.75">
      <c r="B14" s="503" t="s">
        <v>328</v>
      </c>
      <c r="C14" s="504"/>
      <c r="D14" s="511"/>
      <c r="E14" s="506"/>
      <c r="F14" s="512"/>
      <c r="G14" s="513"/>
      <c r="I14" s="503" t="s">
        <v>328</v>
      </c>
      <c r="J14" s="504"/>
      <c r="K14" s="511"/>
      <c r="L14" s="506"/>
      <c r="M14" s="512"/>
      <c r="N14" s="513"/>
      <c r="X14" s="5" t="s">
        <v>327</v>
      </c>
      <c r="Y14" s="912">
        <f>'M2022 BLS SALARY CHART (53_PCT)'!C$38</f>
        <v>0.27379999999999999</v>
      </c>
      <c r="Z14" s="1041" t="s">
        <v>179</v>
      </c>
      <c r="AA14" s="521"/>
      <c r="AB14" s="521"/>
      <c r="AC14" s="521"/>
      <c r="AD14" s="521"/>
      <c r="AE14" s="521"/>
      <c r="AF14" s="521"/>
      <c r="AG14" s="522"/>
    </row>
    <row r="15" spans="2:33">
      <c r="B15" s="6" t="s">
        <v>329</v>
      </c>
      <c r="C15" s="515">
        <f>$Y$14</f>
        <v>0.27379999999999999</v>
      </c>
      <c r="D15" s="516"/>
      <c r="E15" s="517">
        <f>C15*E12</f>
        <v>35376.906006172925</v>
      </c>
      <c r="F15" s="518"/>
      <c r="G15" s="519"/>
      <c r="I15" s="6" t="s">
        <v>329</v>
      </c>
      <c r="J15" s="515">
        <f>$Y$14</f>
        <v>0.27379999999999999</v>
      </c>
      <c r="K15" s="516"/>
      <c r="L15" s="517" t="e">
        <f>J15*L12</f>
        <v>#REF!</v>
      </c>
      <c r="M15" s="518"/>
      <c r="N15" s="519"/>
      <c r="X15" s="6" t="s">
        <v>178</v>
      </c>
      <c r="Y15" s="857">
        <f>'M2022 BLS SALARY CHART (53_PCT)'!C41</f>
        <v>0.12</v>
      </c>
      <c r="Z15" s="1041" t="s">
        <v>179</v>
      </c>
      <c r="AA15" s="527"/>
      <c r="AB15" s="527"/>
      <c r="AC15" s="527"/>
      <c r="AD15" s="527"/>
      <c r="AE15" s="527"/>
      <c r="AF15" s="528"/>
      <c r="AG15" s="529"/>
    </row>
    <row r="16" spans="2:33">
      <c r="B16" s="523" t="s">
        <v>331</v>
      </c>
      <c r="C16" s="524"/>
      <c r="D16" s="525"/>
      <c r="E16" s="500">
        <f>E12+E15</f>
        <v>164584.01340636623</v>
      </c>
      <c r="F16" s="512"/>
      <c r="G16" s="513"/>
      <c r="I16" s="523" t="s">
        <v>331</v>
      </c>
      <c r="J16" s="524"/>
      <c r="K16" s="525"/>
      <c r="L16" s="500" t="e">
        <f>L12+L15</f>
        <v>#REF!</v>
      </c>
      <c r="M16" s="512"/>
      <c r="N16" s="513"/>
      <c r="X16" s="6" t="s">
        <v>209</v>
      </c>
      <c r="Y16" s="534">
        <v>5963.9694954316801</v>
      </c>
      <c r="Z16" s="527" t="s">
        <v>622</v>
      </c>
      <c r="AA16" s="1"/>
      <c r="AB16" s="1"/>
      <c r="AC16" s="1"/>
      <c r="AD16" s="1"/>
      <c r="AE16" s="1"/>
      <c r="AF16" s="1"/>
      <c r="AG16" s="535"/>
    </row>
    <row r="17" spans="2:33">
      <c r="B17" s="6" t="s">
        <v>209</v>
      </c>
      <c r="C17" s="530"/>
      <c r="D17" s="531">
        <f>$Y$16</f>
        <v>5963.9694954316801</v>
      </c>
      <c r="E17" s="517">
        <f t="shared" ref="E17:E23" si="5">D17*$D$12</f>
        <v>10025.583366140299</v>
      </c>
      <c r="F17" s="532"/>
      <c r="G17" s="533"/>
      <c r="I17" s="6" t="s">
        <v>209</v>
      </c>
      <c r="J17" s="530"/>
      <c r="K17" s="531">
        <f>$Y$16</f>
        <v>5963.9694954316801</v>
      </c>
      <c r="L17" s="517">
        <f t="shared" ref="L17:L23" si="6">K17*$K$12</f>
        <v>10044.463626216022</v>
      </c>
      <c r="M17" s="532"/>
      <c r="N17" s="533"/>
      <c r="X17" s="6" t="s">
        <v>214</v>
      </c>
      <c r="Y17" s="534">
        <f>159.619730865091*3</f>
        <v>478.85919259527293</v>
      </c>
      <c r="Z17" s="527" t="s">
        <v>622</v>
      </c>
      <c r="AA17" s="1"/>
      <c r="AB17" s="1"/>
      <c r="AC17" s="1"/>
      <c r="AD17" s="1"/>
      <c r="AE17" s="1"/>
      <c r="AF17" s="1"/>
      <c r="AG17" s="535"/>
    </row>
    <row r="18" spans="2:33">
      <c r="B18" s="6" t="s">
        <v>214</v>
      </c>
      <c r="C18" s="530"/>
      <c r="D18" s="531">
        <f>$Y$17</f>
        <v>478.85919259527293</v>
      </c>
      <c r="E18" s="517">
        <f t="shared" si="5"/>
        <v>804.97439829025325</v>
      </c>
      <c r="F18" s="533" t="s">
        <v>467</v>
      </c>
      <c r="G18" s="533"/>
      <c r="I18" s="6" t="s">
        <v>214</v>
      </c>
      <c r="J18" s="530"/>
      <c r="K18" s="531">
        <f>$Y$17</f>
        <v>478.85919259527293</v>
      </c>
      <c r="L18" s="517">
        <f t="shared" si="6"/>
        <v>806.49033261935654</v>
      </c>
      <c r="M18" s="533" t="s">
        <v>467</v>
      </c>
      <c r="N18" s="533"/>
      <c r="X18" s="6" t="s">
        <v>215</v>
      </c>
      <c r="Y18" s="534">
        <f>1056.87839323969*(1.333)*1.1</f>
        <v>1549.7007880073575</v>
      </c>
      <c r="Z18" s="527" t="s">
        <v>622</v>
      </c>
      <c r="AA18" s="1"/>
      <c r="AB18" s="1"/>
      <c r="AC18" s="1"/>
      <c r="AD18" s="1"/>
      <c r="AE18" s="1"/>
      <c r="AF18" s="1"/>
      <c r="AG18" s="535"/>
    </row>
    <row r="19" spans="2:33">
      <c r="B19" s="6" t="s">
        <v>215</v>
      </c>
      <c r="C19" s="530"/>
      <c r="D19" s="531">
        <f>$Y$18</f>
        <v>1549.7007880073575</v>
      </c>
      <c r="E19" s="517">
        <f t="shared" si="5"/>
        <v>2605.086168640189</v>
      </c>
      <c r="F19" s="533">
        <f>(E19+E21)/SUM(D5:D7)</f>
        <v>3018.9723147715786</v>
      </c>
      <c r="G19" s="533"/>
      <c r="I19" s="6" t="s">
        <v>215</v>
      </c>
      <c r="J19" s="530"/>
      <c r="K19" s="531">
        <f>$Y$18</f>
        <v>1549.7007880073575</v>
      </c>
      <c r="L19" s="517">
        <f t="shared" si="6"/>
        <v>2609.9920880852069</v>
      </c>
      <c r="M19" s="533">
        <f>(L19+L21)/SUM(K5:K7)</f>
        <v>3024.657667970755</v>
      </c>
      <c r="N19" s="533"/>
      <c r="X19" s="6" t="s">
        <v>216</v>
      </c>
      <c r="Y19" s="534">
        <f>659.469710273557*1.333</f>
        <v>879.07312379465145</v>
      </c>
      <c r="Z19" s="527" t="s">
        <v>622</v>
      </c>
      <c r="AA19" s="1"/>
      <c r="AB19" s="1"/>
      <c r="AC19" s="1"/>
      <c r="AD19" s="1"/>
      <c r="AE19" s="1"/>
      <c r="AF19" s="1"/>
      <c r="AG19" s="535"/>
    </row>
    <row r="20" spans="2:33">
      <c r="B20" s="6" t="s">
        <v>216</v>
      </c>
      <c r="C20" s="530"/>
      <c r="D20" s="531">
        <f>$Y$19</f>
        <v>879.07312379465145</v>
      </c>
      <c r="E20" s="517">
        <f t="shared" si="5"/>
        <v>1477.7441256678892</v>
      </c>
      <c r="F20" s="532"/>
      <c r="G20" s="533"/>
      <c r="I20" s="6" t="s">
        <v>216</v>
      </c>
      <c r="J20" s="530"/>
      <c r="K20" s="531">
        <f>$Y$19</f>
        <v>879.07312379465145</v>
      </c>
      <c r="L20" s="517">
        <f t="shared" si="6"/>
        <v>1480.52702541537</v>
      </c>
      <c r="M20" s="532"/>
      <c r="N20" s="533"/>
      <c r="X20" s="6" t="s">
        <v>217</v>
      </c>
      <c r="Y20" s="534">
        <f>474.110604206975*1.333*1.1</f>
        <v>695.1883789486875</v>
      </c>
      <c r="Z20" s="527" t="s">
        <v>622</v>
      </c>
      <c r="AA20" s="1"/>
      <c r="AB20" s="1"/>
      <c r="AC20" s="1"/>
      <c r="AD20" s="1"/>
      <c r="AE20" s="1"/>
      <c r="AF20" s="1"/>
      <c r="AG20" s="535"/>
    </row>
    <row r="21" spans="2:33">
      <c r="B21" s="6" t="s">
        <v>217</v>
      </c>
      <c r="C21" s="530"/>
      <c r="D21" s="531">
        <f>$Y$20</f>
        <v>695.1883789486875</v>
      </c>
      <c r="E21" s="517">
        <f t="shared" si="5"/>
        <v>1168.6292248242839</v>
      </c>
      <c r="F21" s="532"/>
      <c r="G21" s="533"/>
      <c r="I21" s="6" t="s">
        <v>217</v>
      </c>
      <c r="J21" s="530"/>
      <c r="K21" s="531">
        <f>$Y$20</f>
        <v>695.1883789486875</v>
      </c>
      <c r="L21" s="517">
        <f t="shared" si="6"/>
        <v>1170.8299968782364</v>
      </c>
      <c r="M21" s="532"/>
      <c r="N21" s="533"/>
      <c r="X21" s="6" t="s">
        <v>221</v>
      </c>
      <c r="Y21" s="534">
        <v>1733.9343036087084</v>
      </c>
      <c r="Z21" s="527" t="s">
        <v>622</v>
      </c>
      <c r="AA21" s="1"/>
      <c r="AB21" s="1"/>
      <c r="AC21" s="1"/>
      <c r="AD21" s="1"/>
      <c r="AE21" s="1"/>
      <c r="AF21" s="1"/>
      <c r="AG21" s="535"/>
    </row>
    <row r="22" spans="2:33">
      <c r="B22" s="6" t="s">
        <v>221</v>
      </c>
      <c r="C22" s="530"/>
      <c r="D22" s="531">
        <f>$Y$21</f>
        <v>1733.9343036087084</v>
      </c>
      <c r="E22" s="517">
        <f t="shared" si="5"/>
        <v>2914.7873619332245</v>
      </c>
      <c r="F22" s="532"/>
      <c r="G22" s="533"/>
      <c r="I22" s="6" t="s">
        <v>221</v>
      </c>
      <c r="J22" s="530"/>
      <c r="K22" s="531">
        <f>$Y$21</f>
        <v>1733.9343036087084</v>
      </c>
      <c r="L22" s="517">
        <f t="shared" si="6"/>
        <v>2920.2765131824763</v>
      </c>
      <c r="M22" s="532"/>
      <c r="N22" s="533"/>
      <c r="X22" s="6" t="s">
        <v>225</v>
      </c>
      <c r="Y22" s="534">
        <f>1347.35024363167*1.5</f>
        <v>2021.025365447505</v>
      </c>
      <c r="Z22" s="527" t="s">
        <v>622</v>
      </c>
      <c r="AA22" s="1"/>
      <c r="AB22" s="1"/>
      <c r="AC22" s="1"/>
      <c r="AD22" s="1"/>
      <c r="AE22" s="1"/>
      <c r="AF22" s="1"/>
      <c r="AG22" s="535"/>
    </row>
    <row r="23" spans="2:33">
      <c r="B23" s="6" t="s">
        <v>225</v>
      </c>
      <c r="C23" s="530"/>
      <c r="D23" s="531">
        <f>$Y$22</f>
        <v>2021.025365447505</v>
      </c>
      <c r="E23" s="517">
        <f t="shared" si="5"/>
        <v>3397.3946885373093</v>
      </c>
      <c r="F23" s="532"/>
      <c r="G23" s="533"/>
      <c r="I23" s="6" t="s">
        <v>225</v>
      </c>
      <c r="J23" s="530"/>
      <c r="K23" s="531">
        <f>$Y$22</f>
        <v>2021.025365447505</v>
      </c>
      <c r="L23" s="517">
        <f t="shared" si="6"/>
        <v>3403.7926898263013</v>
      </c>
      <c r="M23" s="532"/>
      <c r="N23" s="533"/>
      <c r="X23" s="6"/>
      <c r="Y23" s="534"/>
      <c r="Z23" s="527"/>
      <c r="AA23" s="1"/>
      <c r="AB23" s="1"/>
      <c r="AC23" s="1"/>
      <c r="AD23" s="1"/>
      <c r="AE23" s="1"/>
      <c r="AF23" s="1"/>
      <c r="AG23" s="535"/>
    </row>
    <row r="24" spans="2:33">
      <c r="B24" s="6"/>
      <c r="C24" s="530"/>
      <c r="D24" s="467"/>
      <c r="E24" s="506"/>
      <c r="F24" s="512"/>
      <c r="G24" s="513"/>
      <c r="I24" s="6"/>
      <c r="J24" s="530"/>
      <c r="K24" s="467"/>
      <c r="L24" s="506"/>
      <c r="M24" s="512"/>
      <c r="N24" s="513"/>
      <c r="X24" s="6"/>
      <c r="Y24" s="534"/>
      <c r="Z24" s="527"/>
      <c r="AA24" s="1"/>
      <c r="AB24" s="1"/>
      <c r="AC24" s="1"/>
      <c r="AD24" s="1"/>
      <c r="AE24" s="1"/>
      <c r="AF24" s="1"/>
      <c r="AG24" s="535"/>
    </row>
    <row r="25" spans="2:33">
      <c r="B25" s="6" t="s">
        <v>337</v>
      </c>
      <c r="C25" s="536"/>
      <c r="D25" s="467"/>
      <c r="E25" s="517">
        <f>SUM(E17:E24)</f>
        <v>22394.199334033448</v>
      </c>
      <c r="I25" s="6" t="s">
        <v>337</v>
      </c>
      <c r="J25" s="536"/>
      <c r="K25" s="467"/>
      <c r="L25" s="517">
        <f>SUM(L17:L24)</f>
        <v>22436.372272222965</v>
      </c>
      <c r="X25" s="6" t="s">
        <v>332</v>
      </c>
      <c r="Y25" s="534"/>
      <c r="Z25" s="537">
        <f t="shared" ref="Z25:AG25" si="7">Z6/SUM(Z8:Z10)</f>
        <v>0.14852513270574261</v>
      </c>
      <c r="AA25" s="537">
        <f t="shared" si="7"/>
        <v>8.9627235253465345E-2</v>
      </c>
      <c r="AB25" s="537">
        <f t="shared" si="7"/>
        <v>0.19460329545578819</v>
      </c>
      <c r="AC25" s="537">
        <f t="shared" si="7"/>
        <v>5.8317891929243887E-2</v>
      </c>
      <c r="AD25" s="537">
        <f t="shared" si="7"/>
        <v>0.28345323741007189</v>
      </c>
      <c r="AE25" s="537">
        <f t="shared" si="7"/>
        <v>0.20359380151665021</v>
      </c>
      <c r="AF25" s="537">
        <f t="shared" si="7"/>
        <v>8.0452611900390686E-2</v>
      </c>
      <c r="AG25" s="682">
        <f t="shared" si="7"/>
        <v>0.12398845187308723</v>
      </c>
    </row>
    <row r="26" spans="2:33">
      <c r="B26" s="523" t="s">
        <v>338</v>
      </c>
      <c r="C26" s="524"/>
      <c r="D26" s="525"/>
      <c r="E26" s="500">
        <f>E16+E25</f>
        <v>186978.21274039967</v>
      </c>
      <c r="I26" s="523" t="s">
        <v>338</v>
      </c>
      <c r="J26" s="524"/>
      <c r="K26" s="525"/>
      <c r="L26" s="500" t="e">
        <f>L16+L25</f>
        <v>#REF!</v>
      </c>
      <c r="X26" s="6" t="s">
        <v>334</v>
      </c>
      <c r="Y26" s="538">
        <f>AVERAGE(Z26:AG26)</f>
        <v>7.4532576344018553E-2</v>
      </c>
      <c r="Z26" s="539">
        <f t="shared" ref="Z26:AG26" si="8">Z12/SUM(Z8:Z10)</f>
        <v>9.6736764064924471E-2</v>
      </c>
      <c r="AA26" s="539">
        <f t="shared" si="8"/>
        <v>5.8375633487454413E-2</v>
      </c>
      <c r="AB26" s="539">
        <f t="shared" si="8"/>
        <v>0.10703181250068351</v>
      </c>
      <c r="AC26" s="539">
        <f t="shared" si="8"/>
        <v>5.6337284278816749E-2</v>
      </c>
      <c r="AD26" s="539">
        <f t="shared" si="8"/>
        <v>6.4028776978417259E-2</v>
      </c>
      <c r="AE26" s="539">
        <f t="shared" si="8"/>
        <v>6.0377514012528846E-2</v>
      </c>
      <c r="AF26" s="539">
        <f t="shared" si="8"/>
        <v>4.9673392953650315E-2</v>
      </c>
      <c r="AG26" s="683">
        <f t="shared" si="8"/>
        <v>0.10369943247567294</v>
      </c>
    </row>
    <row r="27" spans="2:33">
      <c r="B27" s="6" t="s">
        <v>341</v>
      </c>
      <c r="C27" s="536">
        <f>$Y$15</f>
        <v>0.12</v>
      </c>
      <c r="D27" s="467"/>
      <c r="E27" s="517">
        <f>C27*E26</f>
        <v>22437.385528847961</v>
      </c>
      <c r="I27" s="6" t="s">
        <v>341</v>
      </c>
      <c r="J27" s="536">
        <f>$Y$15</f>
        <v>0.12</v>
      </c>
      <c r="K27" s="467"/>
      <c r="L27" s="517" t="e">
        <f>J27*L26</f>
        <v>#REF!</v>
      </c>
      <c r="X27" s="6" t="s">
        <v>335</v>
      </c>
      <c r="Y27" s="538">
        <v>0.125</v>
      </c>
      <c r="Z27" s="539"/>
      <c r="AA27" s="544"/>
      <c r="AB27" s="544"/>
      <c r="AC27" s="544"/>
      <c r="AD27" s="544"/>
      <c r="AE27" s="544"/>
      <c r="AF27" s="544"/>
      <c r="AG27" s="684"/>
    </row>
    <row r="28" spans="2:33" ht="15.75" thickBot="1">
      <c r="B28" s="540" t="s">
        <v>342</v>
      </c>
      <c r="C28" s="541"/>
      <c r="D28" s="542"/>
      <c r="E28" s="543">
        <f>E27+E26</f>
        <v>209415.59826924762</v>
      </c>
      <c r="I28" s="540" t="s">
        <v>342</v>
      </c>
      <c r="J28" s="541"/>
      <c r="K28" s="542"/>
      <c r="L28" s="543" t="e">
        <f>L27+L26</f>
        <v>#REF!</v>
      </c>
      <c r="X28" s="6"/>
      <c r="Y28" s="1"/>
      <c r="Z28" s="527"/>
      <c r="AA28" s="1"/>
      <c r="AB28" s="1"/>
      <c r="AC28" s="1"/>
      <c r="AD28" s="1"/>
      <c r="AE28" s="1"/>
      <c r="AF28" s="1"/>
      <c r="AG28" s="535"/>
    </row>
    <row r="29" spans="2:33" ht="16.5" thickTop="1" thickBot="1">
      <c r="B29" s="503" t="s">
        <v>618</v>
      </c>
      <c r="C29" s="668">
        <f>Y32</f>
        <v>2.6565517099262824E-2</v>
      </c>
      <c r="D29" s="505"/>
      <c r="E29" s="506">
        <f>E28*C29</f>
        <v>5563.2336566740523</v>
      </c>
      <c r="I29" s="6" t="s">
        <v>343</v>
      </c>
      <c r="J29" s="1"/>
      <c r="K29" s="545"/>
      <c r="L29" s="546">
        <v>10</v>
      </c>
      <c r="X29" s="98" t="s">
        <v>336</v>
      </c>
      <c r="Y29" s="845"/>
      <c r="Z29" s="846">
        <v>0.34150000000000003</v>
      </c>
      <c r="AA29" s="846">
        <v>0.21195</v>
      </c>
      <c r="AB29" s="846">
        <v>0.21310000000000001</v>
      </c>
      <c r="AC29" s="846">
        <v>0.28775000000000001</v>
      </c>
      <c r="AD29" s="846">
        <v>0.20979999999999999</v>
      </c>
      <c r="AE29" s="846">
        <v>0.29899999999999999</v>
      </c>
      <c r="AF29" s="847">
        <v>0.16789999999999999</v>
      </c>
      <c r="AG29" s="848">
        <v>0.31219999999999998</v>
      </c>
    </row>
    <row r="30" spans="2:33" ht="15.75" thickBot="1">
      <c r="B30" s="553" t="s">
        <v>621</v>
      </c>
      <c r="C30" s="665"/>
      <c r="D30" s="666"/>
      <c r="E30" s="667">
        <f>E29+E28</f>
        <v>214978.83192592167</v>
      </c>
      <c r="I30" s="6" t="s">
        <v>462</v>
      </c>
      <c r="J30" s="1"/>
      <c r="K30" s="545"/>
      <c r="L30" s="547">
        <f>2080*(1-0.154)</f>
        <v>1759.6799999999998</v>
      </c>
      <c r="X30" s="98"/>
      <c r="Y30" s="845"/>
      <c r="Z30" s="846"/>
      <c r="AA30" s="849"/>
      <c r="AB30" s="849"/>
      <c r="AC30" s="849"/>
      <c r="AD30" s="849"/>
      <c r="AE30" s="849"/>
      <c r="AF30" s="850"/>
      <c r="AG30" s="851"/>
    </row>
    <row r="31" spans="2:33" ht="15.75" thickBot="1">
      <c r="B31" s="6" t="s">
        <v>343</v>
      </c>
      <c r="C31" s="1"/>
      <c r="D31" s="545"/>
      <c r="E31" s="535">
        <v>10</v>
      </c>
      <c r="I31" s="6" t="s">
        <v>344</v>
      </c>
      <c r="J31" s="504"/>
      <c r="K31" s="505"/>
      <c r="L31" s="548" t="e">
        <f>L28/365</f>
        <v>#REF!</v>
      </c>
      <c r="X31" s="98"/>
      <c r="Y31" s="845"/>
      <c r="Z31" s="846"/>
      <c r="AA31" s="849"/>
      <c r="AB31" s="849"/>
      <c r="AC31" s="849"/>
      <c r="AD31" s="849"/>
      <c r="AE31" s="849"/>
      <c r="AF31" s="850"/>
      <c r="AG31" s="851"/>
    </row>
    <row r="32" spans="2:33" ht="16.5" thickBot="1">
      <c r="B32" s="6" t="s">
        <v>462</v>
      </c>
      <c r="C32" s="1"/>
      <c r="D32" s="545"/>
      <c r="E32" s="669">
        <f>2080*(1-0.154)</f>
        <v>1759.6799999999998</v>
      </c>
      <c r="I32" s="549" t="str">
        <f>$X$32</f>
        <v>CAF (Apr 2023)</v>
      </c>
      <c r="J32" s="550">
        <f>$Y$32</f>
        <v>2.6565517099262824E-2</v>
      </c>
      <c r="K32" s="551"/>
      <c r="L32" s="552" t="e">
        <f>L31*(1+J32)</f>
        <v>#REF!</v>
      </c>
      <c r="X32" s="906" t="s">
        <v>674</v>
      </c>
      <c r="Y32" s="913">
        <f>'2023 FALL CAF'!CR29</f>
        <v>2.6565517099262824E-2</v>
      </c>
      <c r="Z32" s="771" t="s">
        <v>713</v>
      </c>
      <c r="AA32" s="772"/>
      <c r="AB32" s="773"/>
      <c r="AC32" s="554"/>
      <c r="AD32" s="554"/>
      <c r="AE32" s="554"/>
      <c r="AF32" s="554"/>
      <c r="AG32" s="555"/>
    </row>
    <row r="33" spans="2:36">
      <c r="B33" s="6" t="s">
        <v>344</v>
      </c>
      <c r="C33" s="504"/>
      <c r="D33" s="505"/>
      <c r="E33" s="548">
        <f>E30/365</f>
        <v>588.98310116690868</v>
      </c>
      <c r="I33" s="1110" t="s">
        <v>345</v>
      </c>
      <c r="J33" s="1111"/>
      <c r="K33" s="1112" t="s">
        <v>346</v>
      </c>
      <c r="L33" s="1113"/>
    </row>
    <row r="34" spans="2:36" ht="15.75" thickBot="1">
      <c r="B34" s="549"/>
      <c r="C34" s="550"/>
      <c r="D34" s="551"/>
      <c r="E34" s="552">
        <f>E33</f>
        <v>588.98310116690868</v>
      </c>
      <c r="I34" s="1121"/>
      <c r="J34" s="1122"/>
      <c r="K34" s="560" t="s">
        <v>347</v>
      </c>
      <c r="L34" s="561" t="e">
        <f>L28/L30</f>
        <v>#REF!</v>
      </c>
    </row>
    <row r="35" spans="2:36">
      <c r="B35" s="1110" t="s">
        <v>345</v>
      </c>
      <c r="C35" s="1111"/>
      <c r="D35" s="1112" t="s">
        <v>346</v>
      </c>
      <c r="E35" s="1113"/>
      <c r="I35" s="1121"/>
      <c r="J35" s="1122"/>
      <c r="K35" s="560" t="s">
        <v>348</v>
      </c>
      <c r="L35" s="562" t="e">
        <f>L32/L29</f>
        <v>#REF!</v>
      </c>
    </row>
    <row r="36" spans="2:36" ht="15.75" thickBot="1">
      <c r="B36" s="569"/>
      <c r="C36" s="570"/>
      <c r="D36" s="556" t="s">
        <v>347</v>
      </c>
      <c r="E36" s="557">
        <f>E30/E32</f>
        <v>122.16927618994458</v>
      </c>
      <c r="I36" s="1121"/>
      <c r="J36" s="1122"/>
      <c r="K36" s="560" t="s">
        <v>349</v>
      </c>
      <c r="L36" s="562" t="e">
        <f>L32*365/12</f>
        <v>#REF!</v>
      </c>
      <c r="AI36" s="1"/>
    </row>
    <row r="37" spans="2:36">
      <c r="B37" s="670"/>
      <c r="C37" s="671"/>
      <c r="D37" s="558" t="s">
        <v>348</v>
      </c>
      <c r="E37" s="559">
        <f>E34/E31</f>
        <v>58.898310116690865</v>
      </c>
      <c r="I37" s="1121"/>
      <c r="J37" s="1122"/>
      <c r="K37" s="560" t="s">
        <v>350</v>
      </c>
      <c r="L37" s="562" t="e">
        <f>L32*365/4</f>
        <v>#REF!</v>
      </c>
      <c r="AJ37" s="1"/>
    </row>
    <row r="38" spans="2:36">
      <c r="B38" s="670"/>
      <c r="C38" s="671"/>
      <c r="D38" s="560" t="s">
        <v>349</v>
      </c>
      <c r="E38" s="562">
        <f>E34*365/12</f>
        <v>17914.902660493473</v>
      </c>
      <c r="I38" s="1121"/>
      <c r="J38" s="1122"/>
      <c r="K38" s="560" t="s">
        <v>351</v>
      </c>
      <c r="L38" s="562" t="e">
        <f>L32*365/2</f>
        <v>#REF!</v>
      </c>
      <c r="X38" s="1"/>
      <c r="Y38" s="1"/>
      <c r="Z38" s="1"/>
      <c r="AA38" s="1"/>
      <c r="AB38" s="1"/>
      <c r="AC38" s="1"/>
      <c r="AD38" s="1"/>
      <c r="AE38" s="1"/>
      <c r="AF38" s="1"/>
      <c r="AG38" s="1"/>
      <c r="AH38" s="1"/>
    </row>
    <row r="39" spans="2:36" s="1" customFormat="1" ht="15.75" thickBot="1">
      <c r="B39" s="670"/>
      <c r="C39" s="671"/>
      <c r="D39" s="560" t="s">
        <v>350</v>
      </c>
      <c r="E39" s="562">
        <f>E34*365/4</f>
        <v>53744.707981480416</v>
      </c>
      <c r="F39"/>
      <c r="G39"/>
      <c r="H39"/>
      <c r="I39" s="1123"/>
      <c r="J39" s="1124"/>
      <c r="K39" s="563" t="s">
        <v>352</v>
      </c>
      <c r="L39" s="564" t="e">
        <f>L32*365</f>
        <v>#REF!</v>
      </c>
      <c r="M39"/>
      <c r="N39"/>
      <c r="O39"/>
      <c r="P39"/>
      <c r="Q39"/>
      <c r="R39"/>
      <c r="S39"/>
      <c r="T39"/>
      <c r="U39"/>
      <c r="V39"/>
      <c r="W39"/>
      <c r="X39"/>
      <c r="Y39"/>
      <c r="Z39"/>
      <c r="AA39"/>
      <c r="AB39"/>
      <c r="AC39"/>
      <c r="AD39"/>
      <c r="AE39"/>
      <c r="AF39"/>
      <c r="AG39"/>
      <c r="AH39"/>
      <c r="AI39"/>
      <c r="AJ39"/>
    </row>
    <row r="40" spans="2:36">
      <c r="B40" s="670"/>
      <c r="C40" s="671"/>
      <c r="D40" s="560" t="s">
        <v>351</v>
      </c>
      <c r="E40" s="562">
        <f>E34*365/2</f>
        <v>107489.41596296083</v>
      </c>
    </row>
    <row r="41" spans="2:36" ht="15.75" thickBot="1">
      <c r="B41" s="569"/>
      <c r="C41" s="570"/>
      <c r="D41" s="563" t="s">
        <v>352</v>
      </c>
      <c r="E41" s="564">
        <f>E34*365</f>
        <v>214978.83192592167</v>
      </c>
    </row>
    <row r="87" ht="14.45" customHeight="1"/>
    <row r="92" ht="15.6" customHeight="1"/>
  </sheetData>
  <mergeCells count="13">
    <mergeCell ref="I34:J39"/>
    <mergeCell ref="I33:J33"/>
    <mergeCell ref="K33:L33"/>
    <mergeCell ref="B35:C35"/>
    <mergeCell ref="D35:E35"/>
    <mergeCell ref="B1:E1"/>
    <mergeCell ref="B2:E2"/>
    <mergeCell ref="X13:Y13"/>
    <mergeCell ref="X3:AG3"/>
    <mergeCell ref="X4:Y5"/>
    <mergeCell ref="Z4:AG4"/>
    <mergeCell ref="I1:L1"/>
    <mergeCell ref="I2:L2"/>
  </mergeCells>
  <pageMargins left="0.7" right="0.7" top="0.75" bottom="0.75" header="0.3" footer="0.3"/>
  <pageSetup orientation="portrait" r:id="rId1"/>
  <ignoredErrors>
    <ignoredError sqref="E8 E29" formula="1"/>
  </ignoredError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AED0D-ADB5-47E7-A18B-BC8050F41BF4}">
  <sheetPr>
    <tabColor rgb="FF92D050"/>
  </sheetPr>
  <dimension ref="B1:AK93"/>
  <sheetViews>
    <sheetView topLeftCell="A2" zoomScale="90" zoomScaleNormal="90" workbookViewId="0">
      <selection activeCell="Z32" sqref="Z32"/>
    </sheetView>
  </sheetViews>
  <sheetFormatPr defaultColWidth="9.140625" defaultRowHeight="15"/>
  <cols>
    <col min="2" max="2" width="30.85546875" customWidth="1"/>
    <col min="3" max="3" width="15.42578125" customWidth="1"/>
    <col min="4" max="4" width="13.85546875" bestFit="1" customWidth="1"/>
    <col min="5" max="5" width="12.140625" customWidth="1"/>
    <col min="6" max="7" width="12.140625" hidden="1" customWidth="1"/>
    <col min="8" max="8" width="9.140625" bestFit="1" customWidth="1"/>
    <col min="9" max="9" width="30.85546875" hidden="1" customWidth="1"/>
    <col min="10" max="10" width="15.42578125" hidden="1" customWidth="1"/>
    <col min="11" max="11" width="13.85546875" hidden="1" customWidth="1"/>
    <col min="12" max="14" width="12.140625" hidden="1" customWidth="1"/>
    <col min="15" max="15" width="10.42578125" hidden="1" customWidth="1"/>
    <col min="16" max="16" width="30.85546875" customWidth="1"/>
    <col min="17" max="17" width="15.42578125" customWidth="1"/>
    <col min="18" max="18" width="13.85546875" bestFit="1" customWidth="1"/>
    <col min="19" max="19" width="12.140625" customWidth="1"/>
    <col min="20" max="20" width="9.5703125" hidden="1" customWidth="1"/>
    <col min="21" max="21" width="12" hidden="1" customWidth="1"/>
    <col min="22" max="22" width="9.140625" bestFit="1" customWidth="1"/>
    <col min="24" max="24" width="37.85546875" bestFit="1" customWidth="1"/>
    <col min="25" max="25" width="10.5703125" bestFit="1" customWidth="1"/>
  </cols>
  <sheetData>
    <row r="1" spans="2:33" ht="15.75" thickBot="1">
      <c r="B1" s="1114"/>
      <c r="C1" s="1114"/>
      <c r="D1" s="1114"/>
      <c r="E1" s="1114"/>
      <c r="F1" s="476"/>
      <c r="I1" s="1114"/>
      <c r="J1" s="1114"/>
      <c r="K1" s="1114"/>
      <c r="L1" s="1114"/>
      <c r="M1" s="476"/>
      <c r="N1" s="476"/>
      <c r="P1" s="1114"/>
      <c r="Q1" s="1114"/>
      <c r="R1" s="1114"/>
      <c r="S1" s="1114"/>
      <c r="T1" s="476"/>
    </row>
    <row r="2" spans="2:33" ht="45.75" thickBot="1">
      <c r="B2" s="1125" t="s">
        <v>718</v>
      </c>
      <c r="C2" s="1126"/>
      <c r="D2" s="1126"/>
      <c r="E2" s="1127"/>
      <c r="F2" s="477" t="s">
        <v>298</v>
      </c>
      <c r="I2" s="1115" t="s">
        <v>517</v>
      </c>
      <c r="J2" s="1116"/>
      <c r="K2" s="1116"/>
      <c r="L2" s="1117"/>
      <c r="M2" s="477" t="s">
        <v>298</v>
      </c>
      <c r="N2" s="478"/>
      <c r="P2" s="1115" t="s">
        <v>719</v>
      </c>
      <c r="Q2" s="1116"/>
      <c r="R2" s="1116"/>
      <c r="S2" s="1117"/>
      <c r="T2" s="477" t="s">
        <v>298</v>
      </c>
    </row>
    <row r="3" spans="2:33" ht="15" customHeight="1" thickBot="1">
      <c r="B3" s="479"/>
      <c r="C3" s="480" t="s">
        <v>299</v>
      </c>
      <c r="D3" s="481" t="s">
        <v>300</v>
      </c>
      <c r="E3" s="482" t="s">
        <v>301</v>
      </c>
      <c r="F3" s="483"/>
      <c r="I3" s="479"/>
      <c r="J3" s="480" t="s">
        <v>299</v>
      </c>
      <c r="K3" s="481" t="s">
        <v>300</v>
      </c>
      <c r="L3" s="482" t="s">
        <v>301</v>
      </c>
      <c r="M3" s="483"/>
      <c r="N3" s="484"/>
      <c r="P3" s="479"/>
      <c r="Q3" s="480" t="s">
        <v>299</v>
      </c>
      <c r="R3" s="481" t="s">
        <v>300</v>
      </c>
      <c r="S3" s="482" t="s">
        <v>301</v>
      </c>
      <c r="T3" s="483"/>
      <c r="X3" s="1099" t="s">
        <v>302</v>
      </c>
      <c r="Y3" s="1100"/>
      <c r="Z3" s="1100"/>
      <c r="AA3" s="1100"/>
      <c r="AB3" s="1100"/>
      <c r="AC3" s="1100"/>
      <c r="AD3" s="1100"/>
      <c r="AE3" s="1100"/>
      <c r="AF3" s="1100"/>
      <c r="AG3" s="1101"/>
    </row>
    <row r="4" spans="2:33" ht="15" customHeight="1" thickBot="1">
      <c r="B4" s="465" t="s">
        <v>303</v>
      </c>
      <c r="C4" s="466">
        <f>Y6</f>
        <v>79415.232000000018</v>
      </c>
      <c r="D4" s="467">
        <f>AVERAGE($Z$25:$AG$25)*(SUM(D5:D7))</f>
        <v>0.29564041451111001</v>
      </c>
      <c r="E4" s="382">
        <f t="shared" ref="E4:E9" si="0">C4*D4</f>
        <v>23478.352106975974</v>
      </c>
      <c r="F4" s="472">
        <f t="shared" ref="F4:F7" si="1">D4*40</f>
        <v>11.8256165804444</v>
      </c>
      <c r="I4" s="465" t="s">
        <v>303</v>
      </c>
      <c r="J4" s="485" t="e">
        <f>#REF!</f>
        <v>#REF!</v>
      </c>
      <c r="K4" s="467">
        <f>AVERAGE($Z$25:$AG$25)*(SUM(K5:K7))</f>
        <v>0.29564041451111001</v>
      </c>
      <c r="L4" s="382" t="e">
        <f t="shared" ref="L4:L9" si="2">J4*K4</f>
        <v>#REF!</v>
      </c>
      <c r="M4" s="472">
        <f t="shared" ref="M4:M9" si="3">K4*40</f>
        <v>11.8256165804444</v>
      </c>
      <c r="N4" s="473"/>
      <c r="P4" s="465" t="s">
        <v>303</v>
      </c>
      <c r="Q4" s="466">
        <f>Y6</f>
        <v>79415.232000000018</v>
      </c>
      <c r="R4" s="467">
        <f>AVERAGE($Z$25:$AG$25)*(SUM(R5:R7))</f>
        <v>0.25868536269722125</v>
      </c>
      <c r="S4" s="382">
        <f t="shared" ref="S4" si="4">Q4*R4</f>
        <v>20543.558093603977</v>
      </c>
      <c r="T4" s="472">
        <f t="shared" ref="T4" si="5">R4*40</f>
        <v>10.34741450788885</v>
      </c>
      <c r="X4" s="1102" t="s">
        <v>304</v>
      </c>
      <c r="Y4" s="1103"/>
      <c r="Z4" s="1106" t="s">
        <v>305</v>
      </c>
      <c r="AA4" s="1107"/>
      <c r="AB4" s="1107"/>
      <c r="AC4" s="1107"/>
      <c r="AD4" s="1107"/>
      <c r="AE4" s="1107"/>
      <c r="AF4" s="1107"/>
      <c r="AG4" s="1108"/>
    </row>
    <row r="5" spans="2:33" ht="15.75" thickBot="1">
      <c r="B5" s="465" t="s">
        <v>460</v>
      </c>
      <c r="C5" s="466">
        <f>Y7</f>
        <v>101383.77600000001</v>
      </c>
      <c r="D5" s="467">
        <v>0.5</v>
      </c>
      <c r="E5" s="382">
        <f t="shared" si="0"/>
        <v>50691.888000000006</v>
      </c>
      <c r="F5" s="472">
        <f t="shared" si="1"/>
        <v>20</v>
      </c>
      <c r="I5" s="465" t="s">
        <v>460</v>
      </c>
      <c r="J5" s="485" t="e">
        <f>#REF!</f>
        <v>#REF!</v>
      </c>
      <c r="K5" s="467">
        <v>0.5</v>
      </c>
      <c r="L5" s="382" t="e">
        <f t="shared" si="2"/>
        <v>#REF!</v>
      </c>
      <c r="M5" s="472">
        <f t="shared" si="3"/>
        <v>20</v>
      </c>
      <c r="N5" s="473"/>
      <c r="P5" s="465" t="s">
        <v>461</v>
      </c>
      <c r="Q5" s="466">
        <f>Y8</f>
        <v>80606.448000000004</v>
      </c>
      <c r="R5" s="467">
        <v>0.25</v>
      </c>
      <c r="S5" s="382">
        <f>Q5*R5</f>
        <v>20151.612000000001</v>
      </c>
      <c r="T5" s="472" t="e">
        <f>#REF!*40</f>
        <v>#REF!</v>
      </c>
      <c r="X5" s="1104"/>
      <c r="Y5" s="1105"/>
      <c r="Z5" s="486" t="s">
        <v>307</v>
      </c>
      <c r="AA5" s="486" t="s">
        <v>308</v>
      </c>
      <c r="AB5" s="486" t="s">
        <v>309</v>
      </c>
      <c r="AC5" s="486" t="s">
        <v>310</v>
      </c>
      <c r="AD5" s="486" t="s">
        <v>311</v>
      </c>
      <c r="AE5" s="486" t="s">
        <v>312</v>
      </c>
      <c r="AF5" s="486" t="s">
        <v>313</v>
      </c>
      <c r="AG5" s="486" t="s">
        <v>314</v>
      </c>
    </row>
    <row r="6" spans="2:33">
      <c r="B6" s="465" t="s">
        <v>523</v>
      </c>
      <c r="C6" s="466">
        <f>Y8</f>
        <v>80606.448000000004</v>
      </c>
      <c r="D6" s="467">
        <v>0.5</v>
      </c>
      <c r="E6" s="382">
        <f t="shared" si="0"/>
        <v>40303.224000000002</v>
      </c>
      <c r="F6" s="472">
        <f t="shared" si="1"/>
        <v>20</v>
      </c>
      <c r="I6" s="465" t="s">
        <v>461</v>
      </c>
      <c r="J6" s="485" t="e">
        <f>#REF!</f>
        <v>#REF!</v>
      </c>
      <c r="K6" s="467">
        <v>0.5</v>
      </c>
      <c r="L6" s="382" t="e">
        <f t="shared" si="2"/>
        <v>#REF!</v>
      </c>
      <c r="M6" s="472">
        <f t="shared" si="3"/>
        <v>20</v>
      </c>
      <c r="N6" s="473"/>
      <c r="P6" s="465" t="s">
        <v>360</v>
      </c>
      <c r="Q6" s="466">
        <f>Y9</f>
        <v>64330.864000000001</v>
      </c>
      <c r="R6" s="467">
        <v>0.5</v>
      </c>
      <c r="S6" s="382">
        <f>Q6*R6</f>
        <v>32165.432000000001</v>
      </c>
      <c r="T6" s="472">
        <f>R5*40</f>
        <v>10</v>
      </c>
      <c r="X6" s="487" t="s">
        <v>303</v>
      </c>
      <c r="Y6" s="852">
        <f>'M2022 BLS SALARY CHART (53_PCT)'!C22</f>
        <v>79415.232000000018</v>
      </c>
      <c r="Z6" s="489">
        <v>0.20793518578803963</v>
      </c>
      <c r="AA6" s="490">
        <v>0.20793518578803963</v>
      </c>
      <c r="AB6" s="490">
        <v>0.45454545454545453</v>
      </c>
      <c r="AC6" s="490">
        <v>0.17141009055627424</v>
      </c>
      <c r="AD6" s="490">
        <v>0.57834862385321095</v>
      </c>
      <c r="AE6" s="490">
        <v>0.69090909090909092</v>
      </c>
      <c r="AF6" s="490">
        <v>0.54186582691334406</v>
      </c>
      <c r="AG6" s="491">
        <v>0.56619472021660655</v>
      </c>
    </row>
    <row r="7" spans="2:33">
      <c r="B7" s="566" t="s">
        <v>321</v>
      </c>
      <c r="C7" s="466">
        <f>Y9</f>
        <v>64330.864000000001</v>
      </c>
      <c r="D7" s="467">
        <v>1</v>
      </c>
      <c r="E7" s="382">
        <f t="shared" si="0"/>
        <v>64330.864000000001</v>
      </c>
      <c r="F7" s="472">
        <f t="shared" si="1"/>
        <v>40</v>
      </c>
      <c r="I7" s="566" t="s">
        <v>459</v>
      </c>
      <c r="J7" s="485" t="e">
        <f>#REF!</f>
        <v>#REF!</v>
      </c>
      <c r="K7" s="467">
        <v>1</v>
      </c>
      <c r="L7" s="382" t="e">
        <f t="shared" si="2"/>
        <v>#REF!</v>
      </c>
      <c r="M7" s="472">
        <f t="shared" si="3"/>
        <v>40</v>
      </c>
      <c r="N7" s="473"/>
      <c r="P7" s="465" t="s">
        <v>458</v>
      </c>
      <c r="Q7" s="466">
        <f>Y11</f>
        <v>53206.566400000003</v>
      </c>
      <c r="R7" s="467">
        <v>1</v>
      </c>
      <c r="S7" s="382">
        <f>Q7*R7</f>
        <v>53206.566400000003</v>
      </c>
      <c r="T7" s="472">
        <f>R6*40</f>
        <v>20</v>
      </c>
      <c r="X7" s="492" t="s">
        <v>460</v>
      </c>
      <c r="Y7" s="852">
        <f>'M2022 BLS SALARY CHART (53_PCT)'!C28</f>
        <v>101383.77600000001</v>
      </c>
      <c r="Z7" s="493"/>
      <c r="AA7" s="494"/>
      <c r="AB7" s="494"/>
      <c r="AC7" s="494"/>
      <c r="AD7" s="494"/>
      <c r="AE7" s="494"/>
      <c r="AF7" s="494"/>
      <c r="AG7" s="495"/>
    </row>
    <row r="8" spans="2:33">
      <c r="B8" s="465" t="str">
        <f>X12</f>
        <v>Clerical Support</v>
      </c>
      <c r="C8" s="660">
        <f>Y12</f>
        <v>41600</v>
      </c>
      <c r="D8" s="467">
        <f>$Y$26*(SUM(D5:D7))</f>
        <v>0.14906515268803711</v>
      </c>
      <c r="E8" s="382">
        <f t="shared" si="0"/>
        <v>6201.1103518223435</v>
      </c>
      <c r="F8" s="472" t="e">
        <f>#REF!*40</f>
        <v>#REF!</v>
      </c>
      <c r="I8" s="465" t="s">
        <v>322</v>
      </c>
      <c r="J8" s="567" t="e">
        <f>#REF!</f>
        <v>#REF!</v>
      </c>
      <c r="K8" s="467">
        <f>$Y$26*(SUM(K5:K7))</f>
        <v>0.14906515268803711</v>
      </c>
      <c r="L8" s="382" t="e">
        <f t="shared" si="2"/>
        <v>#REF!</v>
      </c>
      <c r="M8" s="472">
        <f t="shared" si="3"/>
        <v>5.9626061075214842</v>
      </c>
      <c r="N8" s="473"/>
      <c r="P8" s="465" t="s">
        <v>521</v>
      </c>
      <c r="Q8" s="466">
        <f>Y10</f>
        <v>65676.416000000012</v>
      </c>
      <c r="R8" s="467">
        <f>$Y$27*(SUM(R5:R7))</f>
        <v>0.21875</v>
      </c>
      <c r="S8" s="382">
        <f>Q8*R8</f>
        <v>14366.716000000002</v>
      </c>
      <c r="T8" s="472" t="e">
        <f>#REF!*40</f>
        <v>#REF!</v>
      </c>
      <c r="X8" s="492" t="s">
        <v>319</v>
      </c>
      <c r="Y8" s="852">
        <f>'M2022 BLS SALARY CHART (53_PCT)'!C18</f>
        <v>80606.448000000004</v>
      </c>
      <c r="Z8" s="493"/>
      <c r="AA8" s="494"/>
      <c r="AB8" s="494">
        <v>1.1357541478464965</v>
      </c>
      <c r="AC8" s="494">
        <v>0.32923673997412672</v>
      </c>
      <c r="AD8" s="494">
        <v>2.0403669724770643</v>
      </c>
      <c r="AE8" s="494">
        <v>1.9335664335664335</v>
      </c>
      <c r="AF8" s="494">
        <v>1.8452173424056681</v>
      </c>
      <c r="AG8" s="495">
        <v>1.2765117328519857</v>
      </c>
    </row>
    <row r="9" spans="2:33">
      <c r="B9" s="465" t="s">
        <v>521</v>
      </c>
      <c r="C9" s="660">
        <f>Y10</f>
        <v>65676.416000000012</v>
      </c>
      <c r="D9" s="467">
        <f>$Y$27*(SUM(D5:D7))</f>
        <v>0.25</v>
      </c>
      <c r="E9" s="382">
        <f t="shared" si="0"/>
        <v>16419.104000000003</v>
      </c>
      <c r="F9" s="472">
        <f>D8*40</f>
        <v>5.9626061075214842</v>
      </c>
      <c r="I9" s="465" t="s">
        <v>521</v>
      </c>
      <c r="J9" s="567" t="e">
        <f>#REF!</f>
        <v>#REF!</v>
      </c>
      <c r="K9" s="467">
        <f>$Y$27*(SUM(K5:K7))</f>
        <v>0.25</v>
      </c>
      <c r="L9" s="382" t="e">
        <f t="shared" si="2"/>
        <v>#REF!</v>
      </c>
      <c r="M9" s="472">
        <f t="shared" si="3"/>
        <v>10</v>
      </c>
      <c r="N9" s="473"/>
      <c r="P9" s="463" t="str">
        <f>X12</f>
        <v>Clerical Support</v>
      </c>
      <c r="Q9" s="664">
        <f>Y12</f>
        <v>41600</v>
      </c>
      <c r="R9" s="467">
        <v>0.13</v>
      </c>
      <c r="S9" s="681">
        <f>R9*Q9</f>
        <v>5408</v>
      </c>
      <c r="T9" s="472">
        <f>R8*40</f>
        <v>8.75</v>
      </c>
      <c r="X9" s="492" t="s">
        <v>321</v>
      </c>
      <c r="Y9" s="852">
        <f>'M2022 BLS SALARY CHART (53_PCT)'!C14</f>
        <v>64330.864000000001</v>
      </c>
      <c r="Z9" s="493">
        <v>0.45</v>
      </c>
      <c r="AA9" s="494">
        <v>0.7</v>
      </c>
      <c r="AB9" s="494">
        <v>0.15</v>
      </c>
      <c r="AC9" s="494">
        <v>0.7</v>
      </c>
      <c r="AD9" s="494"/>
      <c r="AE9" s="494">
        <v>0.25</v>
      </c>
      <c r="AF9" s="494">
        <v>1.1000000000000001</v>
      </c>
      <c r="AG9" s="495">
        <v>0.9</v>
      </c>
    </row>
    <row r="10" spans="2:33">
      <c r="B10" s="463"/>
      <c r="C10" s="464"/>
      <c r="D10" s="467"/>
      <c r="E10" s="382"/>
      <c r="F10" s="472">
        <f>D9*40</f>
        <v>10</v>
      </c>
      <c r="I10" s="463"/>
      <c r="J10" s="464"/>
      <c r="K10" s="467"/>
      <c r="L10" s="382"/>
      <c r="M10" s="470"/>
      <c r="N10" s="471"/>
      <c r="P10" s="463"/>
      <c r="Q10" s="464"/>
      <c r="R10" s="467"/>
      <c r="S10" s="382"/>
      <c r="T10" s="470"/>
      <c r="X10" s="496" t="s">
        <v>577</v>
      </c>
      <c r="Y10" s="852">
        <f>'M2022 BLS SALARY CHART (53_PCT)'!C16</f>
        <v>65676.416000000012</v>
      </c>
      <c r="Z10" s="493"/>
      <c r="AA10" s="494"/>
      <c r="AB10" s="494"/>
      <c r="AC10" s="494"/>
      <c r="AD10" s="494"/>
      <c r="AE10" s="494"/>
      <c r="AF10" s="494"/>
      <c r="AG10" s="495"/>
    </row>
    <row r="11" spans="2:33">
      <c r="B11" s="463"/>
      <c r="C11" s="464"/>
      <c r="D11" s="467"/>
      <c r="E11" s="382"/>
      <c r="F11" s="470"/>
      <c r="I11" s="463"/>
      <c r="J11" s="464"/>
      <c r="K11" s="467"/>
      <c r="L11" s="382"/>
      <c r="M11" s="470"/>
      <c r="N11" s="471"/>
      <c r="P11" s="463"/>
      <c r="Q11" s="464"/>
      <c r="R11" s="467"/>
      <c r="S11" s="382"/>
      <c r="T11" s="470"/>
      <c r="X11" s="496" t="s">
        <v>611</v>
      </c>
      <c r="Y11" s="852">
        <f>'M2022 BLS SALARY CHART (53_PCT)'!C8</f>
        <v>53206.566400000003</v>
      </c>
      <c r="Z11" s="493">
        <v>0.95</v>
      </c>
      <c r="AA11" s="494">
        <v>1.62</v>
      </c>
      <c r="AB11" s="494">
        <v>1.05</v>
      </c>
      <c r="AC11" s="494">
        <v>1.91</v>
      </c>
      <c r="AD11" s="494"/>
      <c r="AE11" s="494">
        <v>1.21</v>
      </c>
      <c r="AF11" s="494">
        <v>3.79</v>
      </c>
      <c r="AG11" s="495">
        <v>2.39</v>
      </c>
    </row>
    <row r="12" spans="2:33" ht="15.75" thickBot="1">
      <c r="B12" s="497" t="s">
        <v>326</v>
      </c>
      <c r="C12" s="498"/>
      <c r="D12" s="499">
        <f>SUM(D4:D9)</f>
        <v>2.6947055671991471</v>
      </c>
      <c r="E12" s="500">
        <f>SUM(E4:E9)</f>
        <v>201424.54245879833</v>
      </c>
      <c r="F12" s="470"/>
      <c r="I12" s="497" t="s">
        <v>326</v>
      </c>
      <c r="J12" s="498"/>
      <c r="K12" s="499">
        <f>SUM(K4:K9)</f>
        <v>2.6947055671991471</v>
      </c>
      <c r="L12" s="500" t="e">
        <f>SUM(L4:L9)</f>
        <v>#REF!</v>
      </c>
      <c r="M12" s="501"/>
      <c r="N12" s="502"/>
      <c r="P12" s="497" t="s">
        <v>326</v>
      </c>
      <c r="Q12" s="498"/>
      <c r="R12" s="499">
        <f>SUM(R4:R9)</f>
        <v>2.3574353626972213</v>
      </c>
      <c r="S12" s="500">
        <f>SUM(S4:S9)</f>
        <v>145841.88449360401</v>
      </c>
      <c r="T12" s="501"/>
      <c r="X12" s="507" t="s">
        <v>620</v>
      </c>
      <c r="Y12" s="852">
        <f>'M2022 BLS SALARY CHART (53_PCT)'!C36</f>
        <v>41600</v>
      </c>
      <c r="Z12" s="508">
        <v>0.13543146969089426</v>
      </c>
      <c r="AA12" s="509">
        <v>0.13543146969089426</v>
      </c>
      <c r="AB12" s="509">
        <v>0.25</v>
      </c>
      <c r="AC12" s="509">
        <v>0.16558861578266496</v>
      </c>
      <c r="AD12" s="509">
        <v>0.13064220183486239</v>
      </c>
      <c r="AE12" s="509">
        <v>0.20489510489510487</v>
      </c>
      <c r="AF12" s="509">
        <v>0.33456109767755715</v>
      </c>
      <c r="AG12" s="510">
        <v>0.47354467509025272</v>
      </c>
    </row>
    <row r="13" spans="2:33" ht="15.75" thickBot="1">
      <c r="B13" s="503" t="s">
        <v>328</v>
      </c>
      <c r="C13" s="504"/>
      <c r="D13" s="511"/>
      <c r="E13" s="506"/>
      <c r="F13" s="501"/>
      <c r="I13" s="503" t="s">
        <v>328</v>
      </c>
      <c r="J13" s="504"/>
      <c r="K13" s="511"/>
      <c r="L13" s="506"/>
      <c r="M13" s="512"/>
      <c r="N13" s="513"/>
      <c r="P13" s="503" t="s">
        <v>328</v>
      </c>
      <c r="Q13" s="504"/>
      <c r="R13" s="511"/>
      <c r="S13" s="506"/>
      <c r="T13" s="512"/>
      <c r="X13" s="1106" t="s">
        <v>325</v>
      </c>
      <c r="Y13" s="1109"/>
      <c r="Z13" s="514" t="s">
        <v>307</v>
      </c>
      <c r="AA13" s="486" t="s">
        <v>308</v>
      </c>
      <c r="AB13" s="486" t="s">
        <v>309</v>
      </c>
      <c r="AC13" s="486" t="s">
        <v>310</v>
      </c>
      <c r="AD13" s="486" t="s">
        <v>311</v>
      </c>
      <c r="AE13" s="486" t="s">
        <v>312</v>
      </c>
      <c r="AF13" s="486" t="s">
        <v>313</v>
      </c>
      <c r="AG13" s="486" t="s">
        <v>314</v>
      </c>
    </row>
    <row r="14" spans="2:33" ht="15.75">
      <c r="B14" s="6" t="s">
        <v>329</v>
      </c>
      <c r="C14" s="515">
        <f>$Y$14</f>
        <v>0.27379999999999999</v>
      </c>
      <c r="D14" s="516"/>
      <c r="E14" s="517">
        <f>C14*E12</f>
        <v>55150.03972521898</v>
      </c>
      <c r="F14" s="512"/>
      <c r="I14" s="6" t="s">
        <v>329</v>
      </c>
      <c r="J14" s="515">
        <f>$Y$14</f>
        <v>0.27379999999999999</v>
      </c>
      <c r="K14" s="516"/>
      <c r="L14" s="517" t="e">
        <f>J14*L12</f>
        <v>#REF!</v>
      </c>
      <c r="M14" s="518"/>
      <c r="N14" s="519"/>
      <c r="P14" s="6" t="s">
        <v>329</v>
      </c>
      <c r="Q14" s="515">
        <f>$Y$14</f>
        <v>0.27379999999999999</v>
      </c>
      <c r="R14" s="516"/>
      <c r="S14" s="517">
        <f>Q14*S12</f>
        <v>39931.507974348773</v>
      </c>
      <c r="T14" s="518"/>
      <c r="X14" s="5" t="s">
        <v>327</v>
      </c>
      <c r="Y14" s="912">
        <f>'M2022 BLS SALARY CHART (53_PCT)'!C$38</f>
        <v>0.27379999999999999</v>
      </c>
      <c r="Z14" s="1041" t="s">
        <v>179</v>
      </c>
      <c r="AA14" s="521"/>
      <c r="AB14" s="521"/>
      <c r="AC14" s="521"/>
      <c r="AD14" s="521"/>
      <c r="AE14" s="521"/>
      <c r="AF14" s="521"/>
      <c r="AG14" s="522"/>
    </row>
    <row r="15" spans="2:33">
      <c r="B15" s="523" t="s">
        <v>331</v>
      </c>
      <c r="C15" s="524"/>
      <c r="D15" s="525"/>
      <c r="E15" s="500">
        <f>E12+E14</f>
        <v>256574.58218401732</v>
      </c>
      <c r="F15" s="518"/>
      <c r="I15" s="523" t="s">
        <v>331</v>
      </c>
      <c r="J15" s="524"/>
      <c r="K15" s="525"/>
      <c r="L15" s="500" t="e">
        <f>L12+L14</f>
        <v>#REF!</v>
      </c>
      <c r="M15" s="512"/>
      <c r="N15" s="513"/>
      <c r="P15" s="523" t="s">
        <v>331</v>
      </c>
      <c r="Q15" s="524"/>
      <c r="R15" s="525"/>
      <c r="S15" s="500">
        <f>S12+S14</f>
        <v>185773.3924679528</v>
      </c>
      <c r="T15" s="512"/>
      <c r="X15" s="6" t="s">
        <v>178</v>
      </c>
      <c r="Y15" s="526">
        <f>'M2022 BLS SALARY CHART (53_PCT)'!C41</f>
        <v>0.12</v>
      </c>
      <c r="Z15" s="1041" t="s">
        <v>179</v>
      </c>
      <c r="AA15" s="527"/>
      <c r="AB15" s="527"/>
      <c r="AC15" s="527"/>
      <c r="AD15" s="527"/>
      <c r="AE15" s="527"/>
      <c r="AF15" s="528"/>
      <c r="AG15" s="529"/>
    </row>
    <row r="16" spans="2:33" ht="14.45" customHeight="1">
      <c r="B16" s="6" t="s">
        <v>209</v>
      </c>
      <c r="C16" s="530"/>
      <c r="D16" s="531">
        <f>$Y$16</f>
        <v>5963.9694954316801</v>
      </c>
      <c r="E16" s="517">
        <f t="shared" ref="E16:E22" si="6">D16*D$12</f>
        <v>16071.141801945636</v>
      </c>
      <c r="F16" s="512"/>
      <c r="I16" s="6" t="s">
        <v>209</v>
      </c>
      <c r="J16" s="530"/>
      <c r="K16" s="531">
        <f>$Y$16</f>
        <v>5963.9694954316801</v>
      </c>
      <c r="L16" s="517">
        <f t="shared" ref="L16:L22" si="7">K16*K$12</f>
        <v>16071.141801945636</v>
      </c>
      <c r="M16" s="532"/>
      <c r="N16" s="533"/>
      <c r="P16" s="6" t="s">
        <v>209</v>
      </c>
      <c r="Q16" s="530"/>
      <c r="R16" s="531">
        <f>$Y$16</f>
        <v>5963.9694954316801</v>
      </c>
      <c r="S16" s="517">
        <f t="shared" ref="S16:S22" si="8">R16*R$12</f>
        <v>14059.672590578148</v>
      </c>
      <c r="T16" s="532"/>
      <c r="X16" s="6" t="s">
        <v>209</v>
      </c>
      <c r="Y16" s="534">
        <v>5963.9694954316801</v>
      </c>
      <c r="Z16" s="527" t="s">
        <v>622</v>
      </c>
      <c r="AA16" s="1"/>
      <c r="AB16" s="1"/>
      <c r="AC16" s="1"/>
      <c r="AD16" s="1"/>
      <c r="AE16" s="1"/>
      <c r="AF16" s="1"/>
      <c r="AG16" s="535"/>
    </row>
    <row r="17" spans="2:33" ht="14.45" customHeight="1">
      <c r="B17" s="6" t="s">
        <v>214</v>
      </c>
      <c r="C17" s="530"/>
      <c r="D17" s="531">
        <f>$Y$17</f>
        <v>478.85919259527293</v>
      </c>
      <c r="E17" s="517">
        <f t="shared" si="6"/>
        <v>1290.3845321909705</v>
      </c>
      <c r="F17" s="532"/>
      <c r="I17" s="6" t="s">
        <v>214</v>
      </c>
      <c r="J17" s="530"/>
      <c r="K17" s="531">
        <f>$Y$17</f>
        <v>478.85919259527293</v>
      </c>
      <c r="L17" s="517">
        <f t="shared" si="7"/>
        <v>1290.3845321909705</v>
      </c>
      <c r="M17" s="533" t="s">
        <v>467</v>
      </c>
      <c r="N17" s="533"/>
      <c r="P17" s="6" t="s">
        <v>214</v>
      </c>
      <c r="Q17" s="530"/>
      <c r="R17" s="531">
        <f>$Y$17</f>
        <v>478.85919259527293</v>
      </c>
      <c r="S17" s="517">
        <f t="shared" si="8"/>
        <v>1128.8795943767359</v>
      </c>
      <c r="T17" s="533" t="s">
        <v>467</v>
      </c>
      <c r="X17" s="6" t="s">
        <v>214</v>
      </c>
      <c r="Y17" s="534">
        <f>159.619730865091*3</f>
        <v>478.85919259527293</v>
      </c>
      <c r="Z17" s="527" t="s">
        <v>622</v>
      </c>
      <c r="AA17" s="1"/>
      <c r="AB17" s="1"/>
      <c r="AC17" s="1"/>
      <c r="AD17" s="1"/>
      <c r="AE17" s="1"/>
      <c r="AF17" s="1"/>
      <c r="AG17" s="535"/>
    </row>
    <row r="18" spans="2:33" ht="14.45" customHeight="1">
      <c r="B18" s="6" t="s">
        <v>215</v>
      </c>
      <c r="C18" s="530"/>
      <c r="D18" s="531">
        <f>$Y$18</f>
        <v>1549.7007880073575</v>
      </c>
      <c r="E18" s="517">
        <f t="shared" si="6"/>
        <v>4175.9873409363317</v>
      </c>
      <c r="F18" s="533" t="s">
        <v>467</v>
      </c>
      <c r="I18" s="6" t="s">
        <v>215</v>
      </c>
      <c r="J18" s="530"/>
      <c r="K18" s="531">
        <f>$Y$18</f>
        <v>1549.7007880073575</v>
      </c>
      <c r="L18" s="517">
        <f t="shared" si="7"/>
        <v>4175.9873409363317</v>
      </c>
      <c r="M18" s="533">
        <f>(L18+L20)/SUM(K5:K7)</f>
        <v>3024.657667970755</v>
      </c>
      <c r="N18" s="533"/>
      <c r="P18" s="6" t="s">
        <v>215</v>
      </c>
      <c r="Q18" s="530"/>
      <c r="R18" s="531">
        <f>$Y$18</f>
        <v>1549.7007880073575</v>
      </c>
      <c r="S18" s="517">
        <f t="shared" si="8"/>
        <v>3653.3194392482942</v>
      </c>
      <c r="T18" s="533">
        <f>(S18+S20)/SUM(R5:R7)</f>
        <v>3024.1034900103355</v>
      </c>
      <c r="X18" s="6" t="s">
        <v>215</v>
      </c>
      <c r="Y18" s="534">
        <f>1056.87839323969*(1.333)*1.1</f>
        <v>1549.7007880073575</v>
      </c>
      <c r="Z18" s="527" t="s">
        <v>622</v>
      </c>
      <c r="AA18" s="1"/>
      <c r="AB18" s="1"/>
      <c r="AC18" s="1"/>
      <c r="AD18" s="1"/>
      <c r="AE18" s="1"/>
      <c r="AF18" s="1"/>
      <c r="AG18" s="535"/>
    </row>
    <row r="19" spans="2:33" ht="14.45" customHeight="1">
      <c r="B19" s="6" t="s">
        <v>216</v>
      </c>
      <c r="C19" s="530"/>
      <c r="D19" s="531">
        <f>$Y$19</f>
        <v>879.07312379465145</v>
      </c>
      <c r="E19" s="517">
        <f t="shared" si="6"/>
        <v>2368.8432406645925</v>
      </c>
      <c r="F19" s="533">
        <f>(E18+E20)/SUM(D5:D7)</f>
        <v>3024.657667970755</v>
      </c>
      <c r="I19" s="6" t="s">
        <v>216</v>
      </c>
      <c r="J19" s="530"/>
      <c r="K19" s="531">
        <f>$Y$19</f>
        <v>879.07312379465145</v>
      </c>
      <c r="L19" s="517">
        <f t="shared" si="7"/>
        <v>2368.8432406645925</v>
      </c>
      <c r="M19" s="532"/>
      <c r="N19" s="533"/>
      <c r="P19" s="6" t="s">
        <v>216</v>
      </c>
      <c r="Q19" s="530"/>
      <c r="R19" s="531">
        <f>$Y$19</f>
        <v>879.07312379465145</v>
      </c>
      <c r="S19" s="517">
        <f t="shared" si="8"/>
        <v>2072.3580684302233</v>
      </c>
      <c r="T19" s="532"/>
      <c r="X19" s="6" t="s">
        <v>216</v>
      </c>
      <c r="Y19" s="534">
        <f>659.469710273557*1.333</f>
        <v>879.07312379465145</v>
      </c>
      <c r="Z19" s="527" t="s">
        <v>622</v>
      </c>
      <c r="AA19" s="1"/>
      <c r="AB19" s="1"/>
      <c r="AC19" s="1"/>
      <c r="AD19" s="1"/>
      <c r="AE19" s="1"/>
      <c r="AF19" s="1"/>
      <c r="AG19" s="535"/>
    </row>
    <row r="20" spans="2:33" ht="14.45" customHeight="1">
      <c r="B20" s="6" t="s">
        <v>217</v>
      </c>
      <c r="C20" s="530"/>
      <c r="D20" s="531">
        <f>$Y$20</f>
        <v>695.1883789486875</v>
      </c>
      <c r="E20" s="517">
        <f t="shared" si="6"/>
        <v>1873.3279950051785</v>
      </c>
      <c r="F20" s="532"/>
      <c r="I20" s="6" t="s">
        <v>217</v>
      </c>
      <c r="J20" s="530"/>
      <c r="K20" s="531">
        <f>$Y$20</f>
        <v>695.1883789486875</v>
      </c>
      <c r="L20" s="517">
        <f t="shared" si="7"/>
        <v>1873.3279950051785</v>
      </c>
      <c r="M20" s="532"/>
      <c r="N20" s="533"/>
      <c r="P20" s="6" t="s">
        <v>217</v>
      </c>
      <c r="Q20" s="530"/>
      <c r="R20" s="531">
        <f>$Y$20</f>
        <v>695.1883789486875</v>
      </c>
      <c r="S20" s="517">
        <f t="shared" si="8"/>
        <v>1638.8616682697925</v>
      </c>
      <c r="T20" s="532"/>
      <c r="X20" s="6" t="s">
        <v>217</v>
      </c>
      <c r="Y20" s="534">
        <f>474.110604206975*1.333*1.1</f>
        <v>695.1883789486875</v>
      </c>
      <c r="Z20" s="527" t="s">
        <v>622</v>
      </c>
      <c r="AA20" s="1"/>
      <c r="AB20" s="1"/>
      <c r="AC20" s="1"/>
      <c r="AD20" s="1"/>
      <c r="AE20" s="1"/>
      <c r="AF20" s="1"/>
      <c r="AG20" s="535"/>
    </row>
    <row r="21" spans="2:33" ht="14.45" customHeight="1">
      <c r="B21" s="6" t="s">
        <v>221</v>
      </c>
      <c r="C21" s="530"/>
      <c r="D21" s="531">
        <f>$Y$21*2</f>
        <v>3467.8686072174169</v>
      </c>
      <c r="E21" s="517">
        <f t="shared" si="6"/>
        <v>9344.8848421839248</v>
      </c>
      <c r="F21" s="532"/>
      <c r="I21" s="6" t="s">
        <v>221</v>
      </c>
      <c r="J21" s="530"/>
      <c r="K21" s="531">
        <f>$Y$21*2</f>
        <v>3467.8686072174169</v>
      </c>
      <c r="L21" s="517">
        <f t="shared" si="7"/>
        <v>9344.8848421839248</v>
      </c>
      <c r="M21" s="532"/>
      <c r="N21" s="533"/>
      <c r="P21" s="6" t="s">
        <v>221</v>
      </c>
      <c r="Q21" s="530"/>
      <c r="R21" s="531">
        <f>$Y$21*2</f>
        <v>3467.8686072174169</v>
      </c>
      <c r="S21" s="517">
        <f t="shared" si="8"/>
        <v>8175.2760878418985</v>
      </c>
      <c r="T21" s="532"/>
      <c r="X21" s="6" t="s">
        <v>221</v>
      </c>
      <c r="Y21" s="534">
        <v>1733.9343036087084</v>
      </c>
      <c r="Z21" s="527" t="s">
        <v>622</v>
      </c>
      <c r="AA21" s="1"/>
      <c r="AB21" s="1"/>
      <c r="AC21" s="1"/>
      <c r="AD21" s="1"/>
      <c r="AE21" s="1"/>
      <c r="AF21" s="1"/>
      <c r="AG21" s="535"/>
    </row>
    <row r="22" spans="2:33" ht="14.45" customHeight="1">
      <c r="B22" s="6" t="s">
        <v>225</v>
      </c>
      <c r="C22" s="530"/>
      <c r="D22" s="531">
        <f>$Y$22</f>
        <v>2021.025365447505</v>
      </c>
      <c r="E22" s="517">
        <f t="shared" si="6"/>
        <v>5446.0683037220824</v>
      </c>
      <c r="F22" s="532"/>
      <c r="I22" s="6" t="s">
        <v>225</v>
      </c>
      <c r="J22" s="530"/>
      <c r="K22" s="531">
        <f>$Y$22</f>
        <v>2021.025365447505</v>
      </c>
      <c r="L22" s="517">
        <f t="shared" si="7"/>
        <v>5446.0683037220824</v>
      </c>
      <c r="M22" s="532"/>
      <c r="N22" s="533"/>
      <c r="P22" s="6" t="s">
        <v>225</v>
      </c>
      <c r="Q22" s="530"/>
      <c r="R22" s="531">
        <f>$Y$22</f>
        <v>2021.025365447505</v>
      </c>
      <c r="S22" s="517">
        <f t="shared" si="8"/>
        <v>4764.4366654140231</v>
      </c>
      <c r="T22" s="532"/>
      <c r="X22" s="6" t="s">
        <v>225</v>
      </c>
      <c r="Y22" s="534">
        <f>1347.35024363167*1.5</f>
        <v>2021.025365447505</v>
      </c>
      <c r="Z22" s="527" t="s">
        <v>622</v>
      </c>
      <c r="AA22" s="1"/>
      <c r="AB22" s="1"/>
      <c r="AC22" s="1"/>
      <c r="AD22" s="1"/>
      <c r="AE22" s="1"/>
      <c r="AF22" s="1"/>
      <c r="AG22" s="535"/>
    </row>
    <row r="23" spans="2:33" ht="14.45" customHeight="1" thickBot="1">
      <c r="B23" s="6"/>
      <c r="C23" s="530"/>
      <c r="D23" s="467"/>
      <c r="E23" s="680"/>
      <c r="F23" s="532"/>
      <c r="I23" s="6"/>
      <c r="J23" s="530"/>
      <c r="K23" s="467"/>
      <c r="L23" s="506"/>
      <c r="P23" s="6"/>
      <c r="Q23" s="530"/>
      <c r="R23" s="467"/>
      <c r="S23" s="680"/>
      <c r="T23" s="512"/>
      <c r="X23" s="6"/>
      <c r="Y23" s="534"/>
      <c r="Z23" s="527"/>
      <c r="AA23" s="1"/>
      <c r="AB23" s="1"/>
      <c r="AC23" s="1"/>
      <c r="AD23" s="1"/>
      <c r="AE23" s="1"/>
      <c r="AF23" s="1"/>
      <c r="AG23" s="535"/>
    </row>
    <row r="24" spans="2:33" ht="14.45" customHeight="1" thickTop="1" thickBot="1">
      <c r="B24" s="676" t="s">
        <v>337</v>
      </c>
      <c r="C24" s="677"/>
      <c r="D24" s="678"/>
      <c r="E24" s="679">
        <f>SUM(E16:E23)</f>
        <v>40570.638056648713</v>
      </c>
      <c r="F24" s="512"/>
      <c r="I24" s="6" t="s">
        <v>337</v>
      </c>
      <c r="J24" s="536"/>
      <c r="K24" s="467"/>
      <c r="L24" s="517">
        <f>SUM(L16:L23)</f>
        <v>40570.638056648713</v>
      </c>
      <c r="P24" s="676" t="s">
        <v>337</v>
      </c>
      <c r="Q24" s="677"/>
      <c r="R24" s="678"/>
      <c r="S24" s="679">
        <f>SUM(S16:S23)</f>
        <v>35492.804114159117</v>
      </c>
      <c r="X24" s="6"/>
      <c r="Y24" s="534"/>
      <c r="Z24" s="527"/>
      <c r="AA24" s="1"/>
      <c r="AB24" s="1"/>
      <c r="AC24" s="1"/>
      <c r="AD24" s="1"/>
      <c r="AE24" s="1"/>
      <c r="AF24" s="1"/>
      <c r="AG24" s="535"/>
    </row>
    <row r="25" spans="2:33" ht="14.45" customHeight="1">
      <c r="B25" s="672" t="s">
        <v>338</v>
      </c>
      <c r="C25" s="673"/>
      <c r="D25" s="674"/>
      <c r="E25" s="675">
        <f>E15+E24</f>
        <v>297145.22024066601</v>
      </c>
      <c r="I25" s="523" t="s">
        <v>338</v>
      </c>
      <c r="J25" s="524"/>
      <c r="K25" s="525"/>
      <c r="L25" s="500" t="e">
        <f>L15+L24</f>
        <v>#REF!</v>
      </c>
      <c r="P25" s="672" t="s">
        <v>338</v>
      </c>
      <c r="Q25" s="673"/>
      <c r="R25" s="674"/>
      <c r="S25" s="675">
        <f>S15+S24</f>
        <v>221266.19658211191</v>
      </c>
      <c r="X25" s="6" t="s">
        <v>332</v>
      </c>
      <c r="Y25" s="534"/>
      <c r="Z25" s="537">
        <f t="shared" ref="Z25:AG25" si="9">Z6/SUM(Z8:Z11)</f>
        <v>0.14852513270574261</v>
      </c>
      <c r="AA25" s="537">
        <f t="shared" si="9"/>
        <v>8.9627235253465345E-2</v>
      </c>
      <c r="AB25" s="537">
        <f t="shared" si="9"/>
        <v>0.19460329545578819</v>
      </c>
      <c r="AC25" s="537">
        <f t="shared" si="9"/>
        <v>5.8317891929243887E-2</v>
      </c>
      <c r="AD25" s="537">
        <f t="shared" si="9"/>
        <v>0.28345323741007189</v>
      </c>
      <c r="AE25" s="537">
        <f t="shared" si="9"/>
        <v>0.20359380151665021</v>
      </c>
      <c r="AF25" s="537">
        <f t="shared" si="9"/>
        <v>8.0452611900390686E-2</v>
      </c>
      <c r="AG25" s="682">
        <f t="shared" si="9"/>
        <v>0.12398845187308723</v>
      </c>
    </row>
    <row r="26" spans="2:33" ht="14.45" customHeight="1">
      <c r="B26" s="6" t="s">
        <v>341</v>
      </c>
      <c r="C26" s="536">
        <f>$Y$15</f>
        <v>0.12</v>
      </c>
      <c r="D26" s="467"/>
      <c r="E26" s="517">
        <f>C26*E25</f>
        <v>35657.426428879917</v>
      </c>
      <c r="I26" s="6" t="s">
        <v>341</v>
      </c>
      <c r="J26" s="536">
        <f>$Y$15</f>
        <v>0.12</v>
      </c>
      <c r="K26" s="467"/>
      <c r="L26" s="517" t="e">
        <f>J26*L25</f>
        <v>#REF!</v>
      </c>
      <c r="P26" s="6" t="s">
        <v>341</v>
      </c>
      <c r="Q26" s="536">
        <f>$Y$15</f>
        <v>0.12</v>
      </c>
      <c r="R26" s="467"/>
      <c r="S26" s="517">
        <f>Q26*S25</f>
        <v>26551.943589853428</v>
      </c>
      <c r="X26" s="6" t="s">
        <v>334</v>
      </c>
      <c r="Y26" s="538">
        <f>AVERAGE(Z26:AG26)</f>
        <v>7.4532576344018553E-2</v>
      </c>
      <c r="Z26" s="539">
        <f>Z12/SUM(Z8:Z11)</f>
        <v>9.6736764064924471E-2</v>
      </c>
      <c r="AA26" s="539">
        <f t="shared" ref="AA26:AG26" si="10">AA12/SUM(AA8:AA11)</f>
        <v>5.8375633487454413E-2</v>
      </c>
      <c r="AB26" s="539">
        <f t="shared" si="10"/>
        <v>0.10703181250068351</v>
      </c>
      <c r="AC26" s="539">
        <f t="shared" si="10"/>
        <v>5.6337284278816749E-2</v>
      </c>
      <c r="AD26" s="539">
        <f t="shared" si="10"/>
        <v>6.4028776978417259E-2</v>
      </c>
      <c r="AE26" s="539">
        <f t="shared" si="10"/>
        <v>6.0377514012528846E-2</v>
      </c>
      <c r="AF26" s="539">
        <f t="shared" si="10"/>
        <v>4.9673392953650315E-2</v>
      </c>
      <c r="AG26" s="683">
        <f t="shared" si="10"/>
        <v>0.10369943247567294</v>
      </c>
    </row>
    <row r="27" spans="2:33" ht="14.45" customHeight="1" thickBot="1">
      <c r="B27" s="540" t="s">
        <v>342</v>
      </c>
      <c r="C27" s="541"/>
      <c r="D27" s="542"/>
      <c r="E27" s="543">
        <f>E26+E25</f>
        <v>332802.64666954591</v>
      </c>
      <c r="I27" s="540" t="s">
        <v>342</v>
      </c>
      <c r="J27" s="541"/>
      <c r="K27" s="542"/>
      <c r="L27" s="543" t="e">
        <f>L26+L25</f>
        <v>#REF!</v>
      </c>
      <c r="P27" s="540" t="s">
        <v>342</v>
      </c>
      <c r="Q27" s="541"/>
      <c r="R27" s="542"/>
      <c r="S27" s="543">
        <f>S26+S25</f>
        <v>247818.14017196535</v>
      </c>
      <c r="X27" s="6" t="s">
        <v>335</v>
      </c>
      <c r="Y27" s="538">
        <v>0.125</v>
      </c>
      <c r="Z27" s="539"/>
      <c r="AA27" s="544"/>
      <c r="AB27" s="544"/>
      <c r="AC27" s="544"/>
      <c r="AD27" s="544"/>
      <c r="AE27" s="544"/>
      <c r="AF27" s="544"/>
      <c r="AG27" s="684"/>
    </row>
    <row r="28" spans="2:33" ht="14.45" customHeight="1" thickTop="1" thickBot="1">
      <c r="B28" s="6" t="s">
        <v>618</v>
      </c>
      <c r="C28" s="536">
        <f>Y32</f>
        <v>2.6565517099262824E-2</v>
      </c>
      <c r="D28" s="505"/>
      <c r="E28" s="517">
        <f>E27*C28</f>
        <v>8841.0744007797457</v>
      </c>
      <c r="I28" s="503"/>
      <c r="J28" s="504"/>
      <c r="K28" s="505"/>
      <c r="L28" s="506"/>
      <c r="P28" s="6" t="s">
        <v>618</v>
      </c>
      <c r="Q28" s="536">
        <f>Y32</f>
        <v>2.6565517099262824E-2</v>
      </c>
      <c r="R28" s="505"/>
      <c r="S28" s="517">
        <f>S27*Q28</f>
        <v>6583.4170402458567</v>
      </c>
      <c r="X28" s="6"/>
      <c r="Y28" s="1"/>
      <c r="Z28" s="527"/>
      <c r="AA28" s="1"/>
      <c r="AB28" s="1"/>
      <c r="AC28" s="1"/>
      <c r="AD28" s="1"/>
      <c r="AE28" s="1"/>
      <c r="AF28" s="1"/>
      <c r="AG28" s="535"/>
    </row>
    <row r="29" spans="2:33" ht="14.45" customHeight="1" thickBot="1">
      <c r="B29" s="553" t="s">
        <v>621</v>
      </c>
      <c r="C29" s="665"/>
      <c r="D29" s="666"/>
      <c r="E29" s="667">
        <f>E28+E27</f>
        <v>341643.72107032564</v>
      </c>
      <c r="I29" s="503"/>
      <c r="J29" s="504"/>
      <c r="K29" s="505"/>
      <c r="L29" s="506"/>
      <c r="P29" s="553" t="s">
        <v>621</v>
      </c>
      <c r="Q29" s="665"/>
      <c r="R29" s="666"/>
      <c r="S29" s="667">
        <f>S28+S27</f>
        <v>254401.55721221122</v>
      </c>
      <c r="X29" s="98" t="s">
        <v>336</v>
      </c>
      <c r="Y29" s="845"/>
      <c r="Z29" s="846">
        <v>0.34150000000000003</v>
      </c>
      <c r="AA29" s="846">
        <v>0.21195</v>
      </c>
      <c r="AB29" s="846">
        <v>0.21310000000000001</v>
      </c>
      <c r="AC29" s="846">
        <v>0.28775000000000001</v>
      </c>
      <c r="AD29" s="846">
        <v>0.20979999999999999</v>
      </c>
      <c r="AE29" s="846">
        <v>0.29899999999999999</v>
      </c>
      <c r="AF29" s="847">
        <v>0.16789999999999999</v>
      </c>
      <c r="AG29" s="848">
        <v>0.31219999999999998</v>
      </c>
    </row>
    <row r="30" spans="2:33" ht="15" customHeight="1" thickBot="1">
      <c r="B30" s="6" t="s">
        <v>343</v>
      </c>
      <c r="C30" s="1"/>
      <c r="D30" s="545"/>
      <c r="E30" s="535">
        <v>10</v>
      </c>
      <c r="I30" s="6" t="s">
        <v>343</v>
      </c>
      <c r="J30" s="1"/>
      <c r="K30" s="545"/>
      <c r="L30" s="546">
        <v>10</v>
      </c>
      <c r="P30" s="6" t="s">
        <v>343</v>
      </c>
      <c r="Q30" s="1"/>
      <c r="R30" s="545"/>
      <c r="S30" s="535">
        <v>10</v>
      </c>
      <c r="X30" s="98"/>
      <c r="Y30" s="845"/>
      <c r="Z30" s="846"/>
      <c r="AA30" s="849"/>
      <c r="AB30" s="849"/>
      <c r="AC30" s="849"/>
      <c r="AD30" s="849"/>
      <c r="AE30" s="849"/>
      <c r="AF30" s="850"/>
      <c r="AG30" s="851"/>
    </row>
    <row r="31" spans="2:33" ht="15.75" thickBot="1">
      <c r="B31" s="6" t="s">
        <v>344</v>
      </c>
      <c r="C31" s="504"/>
      <c r="D31" s="505"/>
      <c r="E31" s="548">
        <f>E29/365/E30</f>
        <v>93.60101947132209</v>
      </c>
      <c r="I31" s="6" t="s">
        <v>344</v>
      </c>
      <c r="J31" s="504"/>
      <c r="K31" s="505"/>
      <c r="L31" s="548" t="e">
        <f>L27/L30/365</f>
        <v>#REF!</v>
      </c>
      <c r="P31" s="6" t="s">
        <v>344</v>
      </c>
      <c r="Q31" s="504"/>
      <c r="R31" s="505"/>
      <c r="S31" s="548">
        <f>S29/365/S30</f>
        <v>69.699056770468829</v>
      </c>
      <c r="X31" s="98"/>
      <c r="Y31" s="845"/>
      <c r="Z31" s="846"/>
      <c r="AA31" s="849"/>
      <c r="AB31" s="849"/>
      <c r="AC31" s="849"/>
      <c r="AD31" s="849"/>
      <c r="AE31" s="849"/>
      <c r="AF31" s="850"/>
      <c r="AG31" s="851"/>
    </row>
    <row r="32" spans="2:33" ht="16.5" thickBot="1">
      <c r="B32" s="549"/>
      <c r="C32" s="550"/>
      <c r="D32" s="551"/>
      <c r="E32" s="552">
        <f>E31</f>
        <v>93.60101947132209</v>
      </c>
      <c r="I32" s="549" t="str">
        <f>$X$32</f>
        <v>CAF (Apr 2023)</v>
      </c>
      <c r="J32" s="550">
        <f>$Y$32</f>
        <v>2.6565517099262824E-2</v>
      </c>
      <c r="K32" s="551"/>
      <c r="L32" s="572" t="e">
        <f>L31*(1+J32)</f>
        <v>#REF!</v>
      </c>
      <c r="P32" s="503"/>
      <c r="Q32" s="668"/>
      <c r="R32" s="505"/>
      <c r="S32" s="840">
        <f>S31</f>
        <v>69.699056770468829</v>
      </c>
      <c r="X32" s="906" t="s">
        <v>674</v>
      </c>
      <c r="Y32" s="913">
        <f>'2023 FALL CAF'!CR29</f>
        <v>2.6565517099262824E-2</v>
      </c>
      <c r="Z32" s="771" t="s">
        <v>713</v>
      </c>
      <c r="AA32" s="772"/>
      <c r="AB32" s="773"/>
      <c r="AC32" s="554"/>
      <c r="AD32" s="554"/>
      <c r="AE32" s="554"/>
      <c r="AF32" s="554"/>
      <c r="AG32" s="555"/>
    </row>
    <row r="33" spans="2:37">
      <c r="B33" s="1110" t="s">
        <v>345</v>
      </c>
      <c r="C33" s="1111"/>
      <c r="D33" s="1112" t="s">
        <v>346</v>
      </c>
      <c r="E33" s="1113"/>
      <c r="I33" s="1110" t="s">
        <v>345</v>
      </c>
      <c r="J33" s="1111"/>
      <c r="K33" s="1112" t="s">
        <v>346</v>
      </c>
      <c r="L33" s="1113"/>
      <c r="P33" s="1110" t="s">
        <v>345</v>
      </c>
      <c r="Q33" s="1128"/>
      <c r="R33" s="1129" t="s">
        <v>346</v>
      </c>
      <c r="S33" s="1130"/>
    </row>
    <row r="34" spans="2:37" ht="15" customHeight="1">
      <c r="B34" s="474" t="s">
        <v>472</v>
      </c>
      <c r="C34" s="475"/>
      <c r="D34" s="560" t="s">
        <v>347</v>
      </c>
      <c r="E34" s="562">
        <f>E32*365/1760</f>
        <v>19.411575060813956</v>
      </c>
      <c r="I34" s="652"/>
      <c r="J34" s="653"/>
      <c r="K34" s="654"/>
      <c r="L34" s="655"/>
      <c r="P34" s="652"/>
      <c r="Q34" s="841"/>
      <c r="R34" s="560" t="s">
        <v>347</v>
      </c>
      <c r="S34" s="562">
        <f>S32*365/1760</f>
        <v>14.454633932512001</v>
      </c>
    </row>
    <row r="35" spans="2:37" ht="15.95" customHeight="1" thickBot="1">
      <c r="B35" s="461"/>
      <c r="C35" s="462"/>
      <c r="D35" s="556" t="s">
        <v>537</v>
      </c>
      <c r="E35" s="557">
        <f>E32</f>
        <v>93.60101947132209</v>
      </c>
      <c r="I35" s="454" t="s">
        <v>472</v>
      </c>
      <c r="J35" s="455"/>
      <c r="K35" s="560" t="s">
        <v>347</v>
      </c>
      <c r="L35" s="562" t="e">
        <f>L32*365/1952</f>
        <v>#REF!</v>
      </c>
      <c r="P35" s="571" t="s">
        <v>472</v>
      </c>
      <c r="Q35" s="658"/>
      <c r="R35" s="556" t="s">
        <v>537</v>
      </c>
      <c r="S35" s="557">
        <f>S32</f>
        <v>69.699056770468829</v>
      </c>
    </row>
    <row r="36" spans="2:37" ht="32.1" customHeight="1">
      <c r="B36" s="474"/>
      <c r="C36" s="475"/>
      <c r="D36" s="558" t="s">
        <v>349</v>
      </c>
      <c r="E36" s="559">
        <f>E32*365/12</f>
        <v>2847.0310089193804</v>
      </c>
      <c r="I36" s="454"/>
      <c r="J36" s="455"/>
      <c r="K36" s="560" t="s">
        <v>348</v>
      </c>
      <c r="L36" s="561" t="e">
        <f>L32</f>
        <v>#REF!</v>
      </c>
      <c r="P36" s="657"/>
      <c r="Q36" s="656"/>
      <c r="R36" s="558" t="s">
        <v>349</v>
      </c>
      <c r="S36" s="559">
        <f>S32*365/12</f>
        <v>2120.0129767684271</v>
      </c>
    </row>
    <row r="37" spans="2:37">
      <c r="B37" s="474"/>
      <c r="C37" s="475"/>
      <c r="D37" s="560" t="s">
        <v>350</v>
      </c>
      <c r="E37" s="562">
        <f>E32*365/4</f>
        <v>8541.0930267581407</v>
      </c>
      <c r="I37" s="454"/>
      <c r="J37" s="455"/>
      <c r="K37" s="560" t="s">
        <v>349</v>
      </c>
      <c r="L37" s="562" t="e">
        <f>L32*365/12</f>
        <v>#REF!</v>
      </c>
      <c r="P37" s="657"/>
      <c r="Q37" s="656"/>
      <c r="R37" s="560" t="s">
        <v>350</v>
      </c>
      <c r="S37" s="562">
        <f>S32*365/4</f>
        <v>6360.0389303052807</v>
      </c>
    </row>
    <row r="38" spans="2:37">
      <c r="B38" s="474"/>
      <c r="C38" s="475"/>
      <c r="D38" s="560" t="s">
        <v>351</v>
      </c>
      <c r="E38" s="562">
        <f>E32*365/2</f>
        <v>17082.186053516281</v>
      </c>
      <c r="I38" s="454"/>
      <c r="J38" s="455"/>
      <c r="K38" s="560" t="s">
        <v>350</v>
      </c>
      <c r="L38" s="562" t="e">
        <f>L32*365/4</f>
        <v>#REF!</v>
      </c>
      <c r="P38" s="657"/>
      <c r="Q38" s="656"/>
      <c r="R38" s="560" t="s">
        <v>351</v>
      </c>
      <c r="S38" s="562">
        <f>S32*365/2</f>
        <v>12720.077860610561</v>
      </c>
      <c r="X38" s="1"/>
      <c r="Y38" s="1"/>
      <c r="Z38" s="1"/>
      <c r="AA38" s="1"/>
      <c r="AB38" s="1"/>
      <c r="AC38" s="1"/>
      <c r="AD38" s="1"/>
      <c r="AE38" s="1"/>
      <c r="AF38" s="1"/>
      <c r="AG38" s="1"/>
      <c r="AH38" s="1"/>
      <c r="AI38" s="1"/>
      <c r="AJ38" s="1"/>
      <c r="AK38" s="1"/>
    </row>
    <row r="39" spans="2:37" s="1" customFormat="1" ht="15.75" thickBot="1">
      <c r="B39" s="461"/>
      <c r="C39" s="462"/>
      <c r="D39" s="563" t="s">
        <v>352</v>
      </c>
      <c r="E39" s="564">
        <f>E32*365</f>
        <v>34164.372107032563</v>
      </c>
      <c r="F39"/>
      <c r="G39"/>
      <c r="H39"/>
      <c r="I39" s="454"/>
      <c r="J39" s="455"/>
      <c r="K39" s="560" t="s">
        <v>351</v>
      </c>
      <c r="L39" s="562" t="e">
        <f>L32*365/2</f>
        <v>#REF!</v>
      </c>
      <c r="M39"/>
      <c r="N39"/>
      <c r="O39"/>
      <c r="P39" s="571"/>
      <c r="Q39" s="658"/>
      <c r="R39" s="563" t="s">
        <v>352</v>
      </c>
      <c r="S39" s="564">
        <f>S32*365</f>
        <v>25440.155721221123</v>
      </c>
      <c r="T39"/>
      <c r="U39"/>
      <c r="V39"/>
      <c r="W39"/>
      <c r="X39"/>
      <c r="Y39"/>
      <c r="Z39"/>
      <c r="AA39"/>
      <c r="AB39"/>
      <c r="AC39"/>
      <c r="AD39"/>
      <c r="AE39"/>
      <c r="AF39"/>
      <c r="AG39"/>
      <c r="AH39"/>
      <c r="AI39"/>
      <c r="AJ39"/>
      <c r="AK39"/>
    </row>
    <row r="40" spans="2:37" ht="14.45" customHeight="1" thickBot="1">
      <c r="I40" s="456"/>
      <c r="J40" s="457"/>
      <c r="K40" s="563" t="s">
        <v>352</v>
      </c>
      <c r="L40" s="564" t="e">
        <f>L32*365</f>
        <v>#REF!</v>
      </c>
      <c r="P40" s="656"/>
      <c r="Q40" s="656"/>
    </row>
    <row r="41" spans="2:37">
      <c r="P41" s="656"/>
      <c r="Q41" s="656"/>
    </row>
    <row r="88" ht="14.45" customHeight="1"/>
    <row r="93" ht="15.6" customHeight="1"/>
  </sheetData>
  <mergeCells count="16">
    <mergeCell ref="P33:Q33"/>
    <mergeCell ref="R33:S33"/>
    <mergeCell ref="I1:L1"/>
    <mergeCell ref="B33:C33"/>
    <mergeCell ref="D33:E33"/>
    <mergeCell ref="I2:L2"/>
    <mergeCell ref="I33:J33"/>
    <mergeCell ref="K33:L33"/>
    <mergeCell ref="X3:AG3"/>
    <mergeCell ref="X4:Y5"/>
    <mergeCell ref="Z4:AG4"/>
    <mergeCell ref="X13:Y13"/>
    <mergeCell ref="B1:E1"/>
    <mergeCell ref="B2:E2"/>
    <mergeCell ref="P1:S1"/>
    <mergeCell ref="P2:S2"/>
  </mergeCells>
  <pageMargins left="0.7" right="0.7" top="0.75" bottom="0.75" header="0.3" footer="0.3"/>
  <pageSetup orientation="portrait" r:id="rId1"/>
  <ignoredErrors>
    <ignoredError sqref="S28 E28" formula="1"/>
    <ignoredError sqref="Z25:AG25" formulaRange="1"/>
  </ignoredError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A5E8D-57F1-4515-AC23-4E9BD64B3E57}">
  <sheetPr>
    <tabColor rgb="FF92D050"/>
  </sheetPr>
  <dimension ref="A1:Y233"/>
  <sheetViews>
    <sheetView topLeftCell="A11" zoomScaleNormal="100" workbookViewId="0">
      <selection activeCell="R33" sqref="R33"/>
    </sheetView>
  </sheetViews>
  <sheetFormatPr defaultColWidth="9.140625" defaultRowHeight="15"/>
  <cols>
    <col min="1" max="1" width="46" customWidth="1"/>
    <col min="2" max="2" width="15.42578125" customWidth="1"/>
    <col min="3" max="3" width="11.5703125" bestFit="1" customWidth="1"/>
    <col min="4" max="4" width="12.140625" customWidth="1"/>
    <col min="5" max="6" width="12.140625" hidden="1" customWidth="1"/>
    <col min="7" max="7" width="9.140625" bestFit="1" customWidth="1"/>
    <col min="8" max="8" width="30.85546875" customWidth="1"/>
    <col min="9" max="9" width="15.42578125" customWidth="1"/>
    <col min="10" max="10" width="11.5703125" bestFit="1" customWidth="1"/>
    <col min="11" max="11" width="12.140625" customWidth="1"/>
    <col min="12" max="13" width="12.140625" hidden="1" customWidth="1"/>
    <col min="14" max="14" width="10.42578125" customWidth="1"/>
    <col min="15" max="15" width="16.140625" customWidth="1"/>
    <col min="16" max="16" width="25.5703125" customWidth="1"/>
    <col min="17" max="17" width="11.5703125" bestFit="1" customWidth="1"/>
    <col min="18" max="18" width="12.140625" customWidth="1"/>
    <col min="19" max="19" width="9.5703125" hidden="1" customWidth="1"/>
    <col min="20" max="20" width="12" hidden="1" customWidth="1"/>
    <col min="21" max="21" width="9.140625" bestFit="1" customWidth="1"/>
    <col min="23" max="23" width="37.85546875" bestFit="1" customWidth="1"/>
    <col min="24" max="24" width="9" bestFit="1" customWidth="1"/>
  </cols>
  <sheetData>
    <row r="1" spans="1:25" ht="15.75" thickBot="1">
      <c r="A1" s="1131"/>
      <c r="B1" s="1131"/>
      <c r="C1" s="1131"/>
      <c r="D1" s="1131"/>
      <c r="E1" s="476"/>
      <c r="H1" s="1114"/>
      <c r="I1" s="1114"/>
      <c r="J1" s="1114"/>
      <c r="K1" s="1114"/>
      <c r="L1" s="476"/>
      <c r="M1" s="476"/>
      <c r="O1" s="1114"/>
      <c r="P1" s="1114"/>
      <c r="Q1" s="1114"/>
      <c r="R1" s="1114"/>
      <c r="S1" s="476"/>
      <c r="T1" s="476"/>
    </row>
    <row r="2" spans="1:25" ht="18" customHeight="1" thickBot="1">
      <c r="A2" s="1115" t="s">
        <v>598</v>
      </c>
      <c r="B2" s="1116"/>
      <c r="C2" s="1116"/>
      <c r="D2" s="1117"/>
      <c r="E2" s="477" t="s">
        <v>298</v>
      </c>
      <c r="F2" s="478"/>
      <c r="H2" s="1115" t="s">
        <v>599</v>
      </c>
      <c r="I2" s="1116"/>
      <c r="J2" s="1116"/>
      <c r="K2" s="1117"/>
      <c r="L2" s="477" t="s">
        <v>298</v>
      </c>
      <c r="M2" s="478"/>
    </row>
    <row r="3" spans="1:25" ht="15" customHeight="1" thickBot="1">
      <c r="A3" s="479"/>
      <c r="B3" s="480" t="s">
        <v>299</v>
      </c>
      <c r="C3" s="481" t="s">
        <v>300</v>
      </c>
      <c r="D3" s="482" t="s">
        <v>301</v>
      </c>
      <c r="E3" s="483"/>
      <c r="F3" s="484"/>
      <c r="H3" s="479"/>
      <c r="I3" s="480" t="s">
        <v>299</v>
      </c>
      <c r="J3" s="481" t="s">
        <v>300</v>
      </c>
      <c r="K3" s="482" t="s">
        <v>301</v>
      </c>
      <c r="L3" s="483"/>
      <c r="M3" s="484"/>
      <c r="P3" s="1099" t="s">
        <v>302</v>
      </c>
      <c r="Q3" s="1100"/>
      <c r="R3" s="1100"/>
      <c r="S3" s="1100"/>
      <c r="T3" s="1100"/>
      <c r="U3" s="1100"/>
      <c r="V3" s="1100"/>
      <c r="W3" s="1100"/>
      <c r="X3" s="1100"/>
      <c r="Y3" s="1101"/>
    </row>
    <row r="4" spans="1:25" ht="15" customHeight="1" thickBot="1">
      <c r="A4" s="465" t="s">
        <v>303</v>
      </c>
      <c r="B4" s="466">
        <f>Q6</f>
        <v>79415.232000000018</v>
      </c>
      <c r="C4" s="467">
        <f>AVERAGE($R$26:$Y$26)*(SUM(C5:C7))</f>
        <v>9.2387629534721877E-2</v>
      </c>
      <c r="D4" s="382">
        <f t="shared" ref="D4:D6" si="0">B4*C4</f>
        <v>7336.9850334299917</v>
      </c>
      <c r="E4" s="472">
        <f t="shared" ref="E4:E6" si="1">C4*40</f>
        <v>3.6955051813888753</v>
      </c>
      <c r="F4" s="473"/>
      <c r="H4" s="465" t="s">
        <v>303</v>
      </c>
      <c r="I4" s="466">
        <f>Q6</f>
        <v>79415.232000000018</v>
      </c>
      <c r="J4" s="467">
        <f>AVERAGE($R$26:$Y$26)*(SUM(J5:J8))</f>
        <v>0.24390334197166574</v>
      </c>
      <c r="K4" s="382">
        <f t="shared" ref="K4:K9" si="2">I4*J4</f>
        <v>19369.640488255176</v>
      </c>
      <c r="L4" s="468">
        <f t="shared" ref="L4:L9" si="3">J4*40</f>
        <v>9.7561336788666289</v>
      </c>
      <c r="M4" s="469"/>
      <c r="P4" s="1102" t="s">
        <v>304</v>
      </c>
      <c r="Q4" s="1103"/>
      <c r="R4" s="1106" t="s">
        <v>305</v>
      </c>
      <c r="S4" s="1107"/>
      <c r="T4" s="1107"/>
      <c r="U4" s="1107"/>
      <c r="V4" s="1107"/>
      <c r="W4" s="1107"/>
      <c r="X4" s="1107"/>
      <c r="Y4" s="1108"/>
    </row>
    <row r="5" spans="1:25" ht="15.75" thickBot="1">
      <c r="A5" s="465" t="s">
        <v>461</v>
      </c>
      <c r="B5" s="466">
        <f>Q9</f>
        <v>80606.448000000004</v>
      </c>
      <c r="C5" s="467">
        <v>0.1</v>
      </c>
      <c r="D5" s="382">
        <f t="shared" si="0"/>
        <v>8060.6448000000009</v>
      </c>
      <c r="E5" s="472">
        <f t="shared" si="1"/>
        <v>4</v>
      </c>
      <c r="F5" s="473"/>
      <c r="H5" s="465" t="s">
        <v>460</v>
      </c>
      <c r="I5" s="466">
        <f>Q7</f>
        <v>101383.77600000001</v>
      </c>
      <c r="J5" s="467">
        <v>0.4</v>
      </c>
      <c r="K5" s="382">
        <f t="shared" si="2"/>
        <v>40553.510400000006</v>
      </c>
      <c r="L5" s="468">
        <f t="shared" si="3"/>
        <v>16</v>
      </c>
      <c r="M5" s="469"/>
      <c r="P5" s="1104"/>
      <c r="Q5" s="1105"/>
      <c r="R5" s="486" t="s">
        <v>307</v>
      </c>
      <c r="S5" s="486" t="s">
        <v>308</v>
      </c>
      <c r="T5" s="486" t="s">
        <v>309</v>
      </c>
      <c r="U5" s="486" t="s">
        <v>310</v>
      </c>
      <c r="V5" s="486" t="s">
        <v>311</v>
      </c>
      <c r="W5" s="486" t="s">
        <v>312</v>
      </c>
      <c r="X5" s="486" t="s">
        <v>313</v>
      </c>
      <c r="Y5" s="486" t="s">
        <v>314</v>
      </c>
    </row>
    <row r="6" spans="1:25">
      <c r="A6" s="465" t="s">
        <v>458</v>
      </c>
      <c r="B6" s="466">
        <f>Q12</f>
        <v>53206.566400000003</v>
      </c>
      <c r="C6" s="467">
        <v>0.5</v>
      </c>
      <c r="D6" s="382">
        <f t="shared" si="0"/>
        <v>26603.283200000002</v>
      </c>
      <c r="E6" s="472">
        <f t="shared" si="1"/>
        <v>20</v>
      </c>
      <c r="F6" s="473"/>
      <c r="H6" s="465" t="s">
        <v>458</v>
      </c>
      <c r="I6" s="466">
        <f>Q12</f>
        <v>53206.566400000003</v>
      </c>
      <c r="J6" s="467">
        <v>0.3</v>
      </c>
      <c r="K6" s="382">
        <f>I6*J6</f>
        <v>15961.96992</v>
      </c>
      <c r="L6" s="468">
        <f>J6*40</f>
        <v>12</v>
      </c>
      <c r="M6" s="469"/>
      <c r="P6" s="487" t="s">
        <v>303</v>
      </c>
      <c r="Q6" s="852">
        <f>'M2022 BLS SALARY CHART (53_PCT)'!C22</f>
        <v>79415.232000000018</v>
      </c>
      <c r="R6" s="489">
        <v>0.20793518578803963</v>
      </c>
      <c r="S6" s="490">
        <v>0.20793518578803963</v>
      </c>
      <c r="T6" s="490">
        <v>0.45454545454545453</v>
      </c>
      <c r="U6" s="490">
        <v>0.17141009055627424</v>
      </c>
      <c r="V6" s="490">
        <v>0.57834862385321095</v>
      </c>
      <c r="W6" s="490">
        <v>0.69090909090909092</v>
      </c>
      <c r="X6" s="490">
        <v>0.54186582691334406</v>
      </c>
      <c r="Y6" s="491">
        <v>0.56619472021660655</v>
      </c>
    </row>
    <row r="7" spans="1:25">
      <c r="A7" s="465" t="s">
        <v>504</v>
      </c>
      <c r="B7" s="466">
        <f>Q11</f>
        <v>88933.977599999998</v>
      </c>
      <c r="C7" s="467">
        <v>2.5000000000000001E-2</v>
      </c>
      <c r="D7" s="382">
        <f>B7*C7</f>
        <v>2223.34944</v>
      </c>
      <c r="E7" s="472" t="e">
        <f>#REF!*40</f>
        <v>#REF!</v>
      </c>
      <c r="F7" s="473"/>
      <c r="H7" s="465" t="s">
        <v>360</v>
      </c>
      <c r="I7" s="466">
        <f>Q10</f>
        <v>64330.864000000001</v>
      </c>
      <c r="J7" s="467">
        <v>0.7</v>
      </c>
      <c r="K7" s="382">
        <f>I7*J7</f>
        <v>45031.604800000001</v>
      </c>
      <c r="L7" s="468">
        <f>J7*40</f>
        <v>28</v>
      </c>
      <c r="M7" s="469"/>
      <c r="P7" s="492" t="s">
        <v>460</v>
      </c>
      <c r="Q7" s="852">
        <f>'M2022 BLS SALARY CHART (53_PCT)'!C28</f>
        <v>101383.77600000001</v>
      </c>
      <c r="R7" s="493"/>
      <c r="S7" s="494"/>
      <c r="T7" s="494"/>
      <c r="U7" s="494"/>
      <c r="V7" s="494"/>
      <c r="W7" s="494"/>
      <c r="X7" s="494"/>
      <c r="Y7" s="495"/>
    </row>
    <row r="8" spans="1:25">
      <c r="A8" s="465" t="s">
        <v>521</v>
      </c>
      <c r="B8" s="466">
        <f>Q8</f>
        <v>65676.416000000012</v>
      </c>
      <c r="C8" s="467">
        <f>$Q$28*(SUM(C5:C7))</f>
        <v>7.8125E-2</v>
      </c>
      <c r="D8" s="382">
        <f>B8*C8</f>
        <v>5130.9700000000012</v>
      </c>
      <c r="E8" s="472" t="e">
        <f>#REF!*40</f>
        <v>#REF!</v>
      </c>
      <c r="F8" s="473"/>
      <c r="H8" s="465" t="s">
        <v>463</v>
      </c>
      <c r="I8" s="466">
        <f>Q11</f>
        <v>88933.977599999998</v>
      </c>
      <c r="J8" s="467">
        <v>0.25</v>
      </c>
      <c r="K8" s="382">
        <f t="shared" si="2"/>
        <v>22233.4944</v>
      </c>
      <c r="L8" s="468">
        <f t="shared" si="3"/>
        <v>10</v>
      </c>
      <c r="M8" s="469"/>
      <c r="P8" s="492" t="s">
        <v>577</v>
      </c>
      <c r="Q8" s="852">
        <f>'M2022 BLS SALARY CHART (53_PCT)'!C16</f>
        <v>65676.416000000012</v>
      </c>
      <c r="R8" s="493"/>
      <c r="S8" s="494"/>
      <c r="T8" s="494"/>
      <c r="U8" s="494"/>
      <c r="V8" s="494"/>
      <c r="W8" s="494"/>
      <c r="X8" s="494"/>
      <c r="Y8" s="495"/>
    </row>
    <row r="9" spans="1:25">
      <c r="A9" s="463" t="str">
        <f>P13</f>
        <v>Clerical Support</v>
      </c>
      <c r="B9" s="664">
        <f>Q13</f>
        <v>41600</v>
      </c>
      <c r="C9" s="613">
        <v>0.05</v>
      </c>
      <c r="D9" s="681">
        <f>C9*B9</f>
        <v>2080</v>
      </c>
      <c r="E9" s="472">
        <f>C8*40</f>
        <v>3.125</v>
      </c>
      <c r="F9" s="473"/>
      <c r="H9" s="465" t="s">
        <v>521</v>
      </c>
      <c r="I9" s="466">
        <f>Q8</f>
        <v>65676.416000000012</v>
      </c>
      <c r="J9" s="467">
        <f>$Q$28*(SUM(J5:J8))</f>
        <v>0.20624999999999999</v>
      </c>
      <c r="K9" s="382">
        <f t="shared" si="2"/>
        <v>13545.760800000002</v>
      </c>
      <c r="L9" s="468">
        <f t="shared" si="3"/>
        <v>8.25</v>
      </c>
      <c r="M9" s="469"/>
      <c r="P9" s="492" t="s">
        <v>319</v>
      </c>
      <c r="Q9" s="852">
        <f>'M2022 BLS SALARY CHART (53_PCT)'!C18</f>
        <v>80606.448000000004</v>
      </c>
      <c r="R9" s="493"/>
      <c r="S9" s="494"/>
      <c r="T9" s="494">
        <v>1.1357541478464965</v>
      </c>
      <c r="U9" s="494">
        <v>0.32923673997412672</v>
      </c>
      <c r="V9" s="494">
        <v>2.0403669724770643</v>
      </c>
      <c r="W9" s="494">
        <v>1.9335664335664335</v>
      </c>
      <c r="X9" s="494">
        <v>1.8452173424056681</v>
      </c>
      <c r="Y9" s="495">
        <v>1.2765117328519857</v>
      </c>
    </row>
    <row r="10" spans="1:25">
      <c r="A10" s="463"/>
      <c r="B10" s="464"/>
      <c r="C10" s="467"/>
      <c r="D10" s="382"/>
      <c r="E10" s="470"/>
      <c r="F10" s="471"/>
      <c r="H10" s="463" t="str">
        <f>P13</f>
        <v>Clerical Support</v>
      </c>
      <c r="I10" s="664">
        <f>Q13</f>
        <v>41600</v>
      </c>
      <c r="J10" s="467">
        <v>0.12</v>
      </c>
      <c r="K10" s="382">
        <f>J10*I10</f>
        <v>4992</v>
      </c>
      <c r="L10" s="470"/>
      <c r="M10" s="471"/>
      <c r="P10" s="492" t="s">
        <v>321</v>
      </c>
      <c r="Q10" s="852">
        <f>'M2022 BLS SALARY CHART (53_PCT)'!C14</f>
        <v>64330.864000000001</v>
      </c>
      <c r="R10" s="493">
        <v>0.45</v>
      </c>
      <c r="S10" s="494">
        <v>0.7</v>
      </c>
      <c r="T10" s="494">
        <v>0.15</v>
      </c>
      <c r="U10" s="494">
        <v>0.7</v>
      </c>
      <c r="V10" s="494"/>
      <c r="W10" s="494">
        <v>0.25</v>
      </c>
      <c r="X10" s="494">
        <v>1.1000000000000001</v>
      </c>
      <c r="Y10" s="495">
        <v>0.9</v>
      </c>
    </row>
    <row r="11" spans="1:25">
      <c r="A11" s="463"/>
      <c r="B11" s="464"/>
      <c r="C11" s="467"/>
      <c r="D11" s="382"/>
      <c r="E11" s="470"/>
      <c r="F11" s="471"/>
      <c r="H11" s="463"/>
      <c r="I11" s="464"/>
      <c r="J11" s="467"/>
      <c r="K11" s="382"/>
      <c r="L11" s="470"/>
      <c r="M11" s="471"/>
      <c r="P11" s="496" t="s">
        <v>623</v>
      </c>
      <c r="Q11" s="852">
        <f>'M2022 BLS SALARY CHART (53_PCT)'!C30</f>
        <v>88933.977599999998</v>
      </c>
      <c r="R11" s="493"/>
      <c r="S11" s="494"/>
      <c r="T11" s="494"/>
      <c r="U11" s="494"/>
      <c r="V11" s="494"/>
      <c r="W11" s="494"/>
      <c r="X11" s="494"/>
      <c r="Y11" s="495"/>
    </row>
    <row r="12" spans="1:25">
      <c r="A12" s="497" t="s">
        <v>326</v>
      </c>
      <c r="B12" s="498"/>
      <c r="C12" s="499">
        <f>SUM(C4:C9)</f>
        <v>0.84551262953472195</v>
      </c>
      <c r="D12" s="500">
        <f>SUM(D4:D9)</f>
        <v>51435.232473429998</v>
      </c>
      <c r="E12" s="501"/>
      <c r="F12" s="502"/>
      <c r="H12" s="497" t="s">
        <v>326</v>
      </c>
      <c r="I12" s="498"/>
      <c r="J12" s="499">
        <f>SUM(J4:J10)</f>
        <v>2.2201533419716659</v>
      </c>
      <c r="K12" s="500">
        <f>SUM(K4:K10)</f>
        <v>161687.98080825518</v>
      </c>
      <c r="L12" s="501"/>
      <c r="M12" s="502"/>
      <c r="P12" s="496" t="s">
        <v>458</v>
      </c>
      <c r="Q12" s="852">
        <f>'M2022 BLS SALARY CHART (53_PCT)'!C8</f>
        <v>53206.566400000003</v>
      </c>
      <c r="R12" s="493">
        <v>0.95</v>
      </c>
      <c r="S12" s="494">
        <v>1.62</v>
      </c>
      <c r="T12" s="494">
        <v>1.05</v>
      </c>
      <c r="U12" s="494">
        <v>1.91</v>
      </c>
      <c r="V12" s="494"/>
      <c r="W12" s="494">
        <v>1.21</v>
      </c>
      <c r="X12" s="494">
        <v>3.79</v>
      </c>
      <c r="Y12" s="495">
        <v>2.39</v>
      </c>
    </row>
    <row r="13" spans="1:25" ht="15.75" thickBot="1">
      <c r="A13" s="503"/>
      <c r="B13" s="504"/>
      <c r="C13" s="505"/>
      <c r="D13" s="506"/>
      <c r="E13" s="501"/>
      <c r="F13" s="502"/>
      <c r="H13" s="503"/>
      <c r="I13" s="504"/>
      <c r="J13" s="505"/>
      <c r="K13" s="506"/>
      <c r="L13" s="501"/>
      <c r="M13" s="502"/>
      <c r="P13" s="507" t="s">
        <v>620</v>
      </c>
      <c r="Q13" s="852">
        <f>'M2022 BLS SALARY CHART (53_PCT)'!C36</f>
        <v>41600</v>
      </c>
      <c r="R13" s="508">
        <v>0.13543146969089426</v>
      </c>
      <c r="S13" s="509">
        <v>0.13543146969089426</v>
      </c>
      <c r="T13" s="509">
        <v>0.25</v>
      </c>
      <c r="U13" s="509">
        <v>0.16558861578266496</v>
      </c>
      <c r="V13" s="509">
        <v>0.13064220183486239</v>
      </c>
      <c r="W13" s="509">
        <v>0.20489510489510487</v>
      </c>
      <c r="X13" s="509">
        <v>0.33456109767755715</v>
      </c>
      <c r="Y13" s="510">
        <v>0.47354467509025272</v>
      </c>
    </row>
    <row r="14" spans="1:25" ht="15.75" thickBot="1">
      <c r="A14" s="503" t="s">
        <v>328</v>
      </c>
      <c r="B14" s="504"/>
      <c r="C14" s="511"/>
      <c r="D14" s="506"/>
      <c r="E14" s="512"/>
      <c r="F14" s="513"/>
      <c r="H14" s="503" t="s">
        <v>328</v>
      </c>
      <c r="I14" s="504"/>
      <c r="J14" s="511"/>
      <c r="K14" s="506"/>
      <c r="L14" s="512"/>
      <c r="M14" s="513"/>
      <c r="P14" s="1106" t="s">
        <v>325</v>
      </c>
      <c r="Q14" s="1109"/>
      <c r="R14" s="514" t="s">
        <v>307</v>
      </c>
      <c r="S14" s="486" t="s">
        <v>308</v>
      </c>
      <c r="T14" s="486" t="s">
        <v>309</v>
      </c>
      <c r="U14" s="486" t="s">
        <v>310</v>
      </c>
      <c r="V14" s="486" t="s">
        <v>311</v>
      </c>
      <c r="W14" s="486" t="s">
        <v>312</v>
      </c>
      <c r="X14" s="486" t="s">
        <v>313</v>
      </c>
      <c r="Y14" s="486" t="s">
        <v>314</v>
      </c>
    </row>
    <row r="15" spans="1:25" ht="15.75">
      <c r="A15" s="6" t="s">
        <v>329</v>
      </c>
      <c r="B15" s="515">
        <f>$Q$15</f>
        <v>0.27379999999999999</v>
      </c>
      <c r="C15" s="516"/>
      <c r="D15" s="517">
        <f>B15*D12</f>
        <v>14082.966651225133</v>
      </c>
      <c r="E15" s="518"/>
      <c r="F15" s="519"/>
      <c r="H15" s="6" t="s">
        <v>329</v>
      </c>
      <c r="I15" s="515">
        <f>$Q$15</f>
        <v>0.27379999999999999</v>
      </c>
      <c r="J15" s="516"/>
      <c r="K15" s="517">
        <f>I15*K12</f>
        <v>44270.169145300264</v>
      </c>
      <c r="L15" s="518"/>
      <c r="M15" s="519"/>
      <c r="P15" s="5" t="s">
        <v>327</v>
      </c>
      <c r="Q15" s="912">
        <f>'M2022 BLS SALARY CHART (53_PCT)'!C38</f>
        <v>0.27379999999999999</v>
      </c>
      <c r="R15" s="1041" t="s">
        <v>179</v>
      </c>
      <c r="S15" s="521"/>
      <c r="T15" s="521"/>
      <c r="U15" s="521"/>
      <c r="V15" s="521"/>
      <c r="W15" s="521"/>
      <c r="X15" s="521"/>
      <c r="Y15" s="522"/>
    </row>
    <row r="16" spans="1:25">
      <c r="A16" s="523" t="s">
        <v>331</v>
      </c>
      <c r="B16" s="524"/>
      <c r="C16" s="525"/>
      <c r="D16" s="500">
        <f>D12+D15</f>
        <v>65518.199124655133</v>
      </c>
      <c r="E16" s="512"/>
      <c r="F16" s="513"/>
      <c r="H16" s="523" t="s">
        <v>331</v>
      </c>
      <c r="I16" s="524"/>
      <c r="J16" s="525"/>
      <c r="K16" s="500">
        <f>K12+K15</f>
        <v>205958.14995355543</v>
      </c>
      <c r="L16" s="512"/>
      <c r="M16" s="513"/>
      <c r="P16" s="6" t="s">
        <v>178</v>
      </c>
      <c r="Q16" s="857">
        <f>'M2022 BLS SALARY CHART (53_PCT)'!C41</f>
        <v>0.12</v>
      </c>
      <c r="R16" s="1041" t="s">
        <v>179</v>
      </c>
      <c r="S16" s="527"/>
      <c r="T16" s="527"/>
      <c r="U16" s="527"/>
      <c r="V16" s="527"/>
      <c r="W16" s="527"/>
      <c r="X16" s="528"/>
      <c r="Y16" s="529"/>
    </row>
    <row r="17" spans="1:25">
      <c r="A17" s="6" t="s">
        <v>209</v>
      </c>
      <c r="B17" s="530"/>
      <c r="C17" s="531">
        <f>$Q$17</f>
        <v>5963.9694954316801</v>
      </c>
      <c r="D17" s="517">
        <f>C17*$C$12</f>
        <v>5042.6115305473086</v>
      </c>
      <c r="E17" s="532"/>
      <c r="F17" s="533"/>
      <c r="H17" s="6" t="s">
        <v>209</v>
      </c>
      <c r="I17" s="530"/>
      <c r="J17" s="531">
        <f>$Q$17</f>
        <v>5963.9694954316801</v>
      </c>
      <c r="K17" s="517">
        <f t="shared" ref="K17:K23" si="4">J17*$J$12</f>
        <v>13240.926806699716</v>
      </c>
      <c r="L17" s="532"/>
      <c r="M17" s="533"/>
      <c r="P17" s="6" t="s">
        <v>209</v>
      </c>
      <c r="Q17" s="534">
        <v>5963.9694954316801</v>
      </c>
      <c r="R17" s="527" t="s">
        <v>622</v>
      </c>
      <c r="S17" s="1"/>
      <c r="T17" s="1"/>
      <c r="U17" s="1"/>
      <c r="V17" s="1"/>
      <c r="W17" s="1"/>
      <c r="X17" s="1"/>
      <c r="Y17" s="535"/>
    </row>
    <row r="18" spans="1:25">
      <c r="A18" s="6" t="s">
        <v>214</v>
      </c>
      <c r="B18" s="530"/>
      <c r="C18" s="531">
        <f>$Q$18</f>
        <v>478.85919259527293</v>
      </c>
      <c r="D18" s="517">
        <f t="shared" ref="D18:D23" si="5">C18*$C$12</f>
        <v>404.88149510810308</v>
      </c>
      <c r="E18" s="533" t="s">
        <v>467</v>
      </c>
      <c r="F18" s="533"/>
      <c r="H18" s="6" t="s">
        <v>214</v>
      </c>
      <c r="I18" s="530"/>
      <c r="J18" s="531">
        <f>$Q$18</f>
        <v>478.85919259527293</v>
      </c>
      <c r="K18" s="517">
        <f t="shared" si="4"/>
        <v>1063.1408367742488</v>
      </c>
      <c r="L18" s="533" t="s">
        <v>467</v>
      </c>
      <c r="M18" s="533"/>
      <c r="P18" s="6" t="s">
        <v>214</v>
      </c>
      <c r="Q18" s="534">
        <f>159.619730865091*3</f>
        <v>478.85919259527293</v>
      </c>
      <c r="R18" s="527" t="s">
        <v>622</v>
      </c>
      <c r="S18" s="1"/>
      <c r="T18" s="1"/>
      <c r="U18" s="1"/>
      <c r="V18" s="1"/>
      <c r="W18" s="1"/>
      <c r="X18" s="1"/>
      <c r="Y18" s="535"/>
    </row>
    <row r="19" spans="1:25">
      <c r="A19" s="6" t="s">
        <v>215</v>
      </c>
      <c r="B19" s="530"/>
      <c r="C19" s="531">
        <f>$Q$19*2</f>
        <v>3099.4015760147149</v>
      </c>
      <c r="D19" s="517">
        <f t="shared" si="5"/>
        <v>2620.5831765202629</v>
      </c>
      <c r="E19" s="533">
        <f>(D19+D21)/SUM(C5:C7)</f>
        <v>6073.862856214454</v>
      </c>
      <c r="F19" s="533"/>
      <c r="H19" s="6" t="s">
        <v>215</v>
      </c>
      <c r="I19" s="530"/>
      <c r="J19" s="531">
        <f>$Q$19*2</f>
        <v>3099.4015760147149</v>
      </c>
      <c r="K19" s="517">
        <f t="shared" si="4"/>
        <v>6881.1467671013179</v>
      </c>
      <c r="L19" s="533">
        <f>(K19+K21)/SUM(J5:J8)</f>
        <v>6041.2099228769121</v>
      </c>
      <c r="M19" s="533"/>
      <c r="P19" s="6" t="s">
        <v>215</v>
      </c>
      <c r="Q19" s="534">
        <f>1056.87839323969*(1.333)*1.1</f>
        <v>1549.7007880073575</v>
      </c>
      <c r="R19" s="527" t="s">
        <v>622</v>
      </c>
      <c r="S19" s="1"/>
      <c r="T19" s="1"/>
      <c r="U19" s="1"/>
      <c r="V19" s="1"/>
      <c r="W19" s="1"/>
      <c r="X19" s="1"/>
      <c r="Y19" s="535"/>
    </row>
    <row r="20" spans="1:25">
      <c r="A20" s="6" t="s">
        <v>216</v>
      </c>
      <c r="B20" s="530"/>
      <c r="C20" s="531">
        <f>$Q$20*3</f>
        <v>2637.2193713839542</v>
      </c>
      <c r="D20" s="517">
        <f t="shared" si="5"/>
        <v>2229.8022853587536</v>
      </c>
      <c r="E20" s="532"/>
      <c r="F20" s="533"/>
      <c r="H20" s="6" t="s">
        <v>216</v>
      </c>
      <c r="I20" s="530"/>
      <c r="J20" s="531">
        <f>$Q$20*3</f>
        <v>2637.2193713839542</v>
      </c>
      <c r="K20" s="517">
        <f t="shared" si="4"/>
        <v>5855.0314008905016</v>
      </c>
      <c r="L20" s="532"/>
      <c r="M20" s="533"/>
      <c r="P20" s="6" t="s">
        <v>216</v>
      </c>
      <c r="Q20" s="534">
        <f>659.469710273557*1.333</f>
        <v>879.07312379465145</v>
      </c>
      <c r="R20" s="527" t="s">
        <v>622</v>
      </c>
      <c r="S20" s="1"/>
      <c r="T20" s="1"/>
      <c r="U20" s="1"/>
      <c r="V20" s="1"/>
      <c r="W20" s="1"/>
      <c r="X20" s="1"/>
      <c r="Y20" s="535"/>
    </row>
    <row r="21" spans="1:25">
      <c r="A21" s="6" t="s">
        <v>217</v>
      </c>
      <c r="B21" s="530"/>
      <c r="C21" s="531">
        <f>$Q$21*2</f>
        <v>1390.376757897375</v>
      </c>
      <c r="D21" s="517">
        <f t="shared" si="5"/>
        <v>1175.581108613771</v>
      </c>
      <c r="E21" s="532"/>
      <c r="F21" s="533"/>
      <c r="H21" s="6" t="s">
        <v>217</v>
      </c>
      <c r="I21" s="530"/>
      <c r="J21" s="531">
        <f>$Q$21*2</f>
        <v>1390.376757897375</v>
      </c>
      <c r="K21" s="517">
        <f t="shared" si="4"/>
        <v>3086.849605645587</v>
      </c>
      <c r="L21" s="532"/>
      <c r="M21" s="533"/>
      <c r="P21" s="6" t="s">
        <v>217</v>
      </c>
      <c r="Q21" s="534">
        <f>474.110604206975*1.333*1.1</f>
        <v>695.1883789486875</v>
      </c>
      <c r="R21" s="527" t="s">
        <v>622</v>
      </c>
      <c r="S21" s="1"/>
      <c r="T21" s="1"/>
      <c r="U21" s="1"/>
      <c r="V21" s="1"/>
      <c r="W21" s="1"/>
      <c r="X21" s="1"/>
      <c r="Y21" s="535"/>
    </row>
    <row r="22" spans="1:25">
      <c r="A22" s="6" t="s">
        <v>221</v>
      </c>
      <c r="B22" s="530"/>
      <c r="C22" s="531">
        <f>$Q$22*1.5</f>
        <v>2600.9014554130626</v>
      </c>
      <c r="D22" s="517">
        <f t="shared" si="5"/>
        <v>2199.0950287269839</v>
      </c>
      <c r="E22" s="532"/>
      <c r="F22" s="533"/>
      <c r="H22" s="6" t="s">
        <v>221</v>
      </c>
      <c r="I22" s="530"/>
      <c r="J22" s="531">
        <f>$Q$22*1.5</f>
        <v>2600.9014554130626</v>
      </c>
      <c r="K22" s="517">
        <f t="shared" si="4"/>
        <v>5774.4000583742809</v>
      </c>
      <c r="L22" s="532"/>
      <c r="M22" s="533"/>
      <c r="P22" s="6" t="s">
        <v>221</v>
      </c>
      <c r="Q22" s="534">
        <v>1733.9343036087084</v>
      </c>
      <c r="R22" s="527" t="s">
        <v>622</v>
      </c>
      <c r="S22" s="1"/>
      <c r="T22" s="1"/>
      <c r="U22" s="1"/>
      <c r="V22" s="1"/>
      <c r="W22" s="1"/>
      <c r="X22" s="1"/>
      <c r="Y22" s="535"/>
    </row>
    <row r="23" spans="1:25">
      <c r="A23" s="6" t="s">
        <v>225</v>
      </c>
      <c r="B23" s="530"/>
      <c r="C23" s="531">
        <f>$Q$23*2</f>
        <v>4042.05073089501</v>
      </c>
      <c r="D23" s="517">
        <f t="shared" si="5"/>
        <v>3417.6049421917846</v>
      </c>
      <c r="E23" s="532"/>
      <c r="F23" s="533"/>
      <c r="H23" s="6" t="s">
        <v>225</v>
      </c>
      <c r="I23" s="530"/>
      <c r="J23" s="531">
        <f>$Q$23</f>
        <v>2021.025365447505</v>
      </c>
      <c r="K23" s="517">
        <f t="shared" si="4"/>
        <v>4486.9862193077861</v>
      </c>
      <c r="L23" s="532"/>
      <c r="M23" s="533"/>
      <c r="P23" s="6" t="s">
        <v>225</v>
      </c>
      <c r="Q23" s="534">
        <f>1347.35024363167*1.5</f>
        <v>2021.025365447505</v>
      </c>
      <c r="R23" s="527" t="s">
        <v>622</v>
      </c>
      <c r="S23" s="1"/>
      <c r="T23" s="1"/>
      <c r="U23" s="1"/>
      <c r="V23" s="1"/>
      <c r="W23" s="1"/>
      <c r="X23" s="1"/>
      <c r="Y23" s="535"/>
    </row>
    <row r="24" spans="1:25">
      <c r="A24" s="6"/>
      <c r="B24" s="530"/>
      <c r="C24" s="467"/>
      <c r="D24" s="506"/>
      <c r="E24" s="512"/>
      <c r="F24" s="513"/>
      <c r="H24" s="6"/>
      <c r="I24" s="530"/>
      <c r="J24" s="467"/>
      <c r="K24" s="506"/>
      <c r="L24" s="512"/>
      <c r="M24" s="513"/>
      <c r="P24" s="6"/>
      <c r="Q24" s="534"/>
      <c r="R24" s="527"/>
      <c r="S24" s="1"/>
      <c r="T24" s="1"/>
      <c r="U24" s="1"/>
      <c r="V24" s="1"/>
      <c r="W24" s="1"/>
      <c r="X24" s="1"/>
      <c r="Y24" s="535"/>
    </row>
    <row r="25" spans="1:25">
      <c r="A25" s="6" t="s">
        <v>337</v>
      </c>
      <c r="B25" s="536"/>
      <c r="C25" s="467"/>
      <c r="D25" s="517">
        <f>SUM(D17:D24)</f>
        <v>17090.159567066967</v>
      </c>
      <c r="E25" s="532"/>
      <c r="H25" s="6" t="s">
        <v>337</v>
      </c>
      <c r="I25" s="536"/>
      <c r="J25" s="467"/>
      <c r="K25" s="517">
        <f>SUM(K17:K24)</f>
        <v>40388.481694793438</v>
      </c>
      <c r="P25" s="6"/>
      <c r="Q25" s="534"/>
      <c r="R25" s="527"/>
      <c r="S25" s="1"/>
      <c r="T25" s="1"/>
      <c r="U25" s="1"/>
      <c r="V25" s="1"/>
      <c r="W25" s="1"/>
      <c r="X25" s="1"/>
      <c r="Y25" s="535"/>
    </row>
    <row r="26" spans="1:25">
      <c r="A26" s="523" t="s">
        <v>338</v>
      </c>
      <c r="B26" s="524"/>
      <c r="C26" s="525"/>
      <c r="D26" s="500">
        <f>D16+D25</f>
        <v>82608.358691722096</v>
      </c>
      <c r="H26" s="523" t="s">
        <v>338</v>
      </c>
      <c r="I26" s="524"/>
      <c r="J26" s="525"/>
      <c r="K26" s="500">
        <f>K16+K25</f>
        <v>246346.63164834888</v>
      </c>
      <c r="P26" s="6" t="s">
        <v>332</v>
      </c>
      <c r="Q26" s="534"/>
      <c r="R26" s="537">
        <f>R6/SUM(R9:R12)</f>
        <v>0.14852513270574261</v>
      </c>
      <c r="S26" s="537">
        <f t="shared" ref="S26:Y26" si="6">S6/SUM(S9:S12)</f>
        <v>8.9627235253465345E-2</v>
      </c>
      <c r="T26" s="537">
        <f t="shared" si="6"/>
        <v>0.19460329545578819</v>
      </c>
      <c r="U26" s="537">
        <f t="shared" si="6"/>
        <v>5.8317891929243887E-2</v>
      </c>
      <c r="V26" s="537">
        <f t="shared" si="6"/>
        <v>0.28345323741007189</v>
      </c>
      <c r="W26" s="537">
        <f t="shared" si="6"/>
        <v>0.20359380151665021</v>
      </c>
      <c r="X26" s="537">
        <f t="shared" si="6"/>
        <v>8.0452611900390686E-2</v>
      </c>
      <c r="Y26" s="537">
        <f t="shared" si="6"/>
        <v>0.12398845187308723</v>
      </c>
    </row>
    <row r="27" spans="1:25">
      <c r="A27" s="6" t="s">
        <v>341</v>
      </c>
      <c r="B27" s="536">
        <f>$Q$16</f>
        <v>0.12</v>
      </c>
      <c r="C27" s="467"/>
      <c r="D27" s="517">
        <f>B27*D26</f>
        <v>9913.0030430066508</v>
      </c>
      <c r="H27" s="6" t="s">
        <v>341</v>
      </c>
      <c r="I27" s="536">
        <f>$Q$16</f>
        <v>0.12</v>
      </c>
      <c r="J27" s="467"/>
      <c r="K27" s="517">
        <f>I27*K26</f>
        <v>29561.595797801863</v>
      </c>
      <c r="P27" s="6" t="s">
        <v>334</v>
      </c>
      <c r="Q27" s="538">
        <f>AVERAGE(R27:Y27)</f>
        <v>7.4532576344018553E-2</v>
      </c>
      <c r="R27" s="539">
        <f>R13/SUM(R9:R12)</f>
        <v>9.6736764064924471E-2</v>
      </c>
      <c r="S27" s="539">
        <f t="shared" ref="S27:Y27" si="7">S13/SUM(S9:S12)</f>
        <v>5.8375633487454413E-2</v>
      </c>
      <c r="T27" s="539">
        <f t="shared" si="7"/>
        <v>0.10703181250068351</v>
      </c>
      <c r="U27" s="539">
        <f t="shared" si="7"/>
        <v>5.6337284278816749E-2</v>
      </c>
      <c r="V27" s="539">
        <f t="shared" si="7"/>
        <v>6.4028776978417259E-2</v>
      </c>
      <c r="W27" s="539">
        <f t="shared" si="7"/>
        <v>6.0377514012528846E-2</v>
      </c>
      <c r="X27" s="539">
        <f t="shared" si="7"/>
        <v>4.9673392953650315E-2</v>
      </c>
      <c r="Y27" s="539">
        <f t="shared" si="7"/>
        <v>0.10369943247567294</v>
      </c>
    </row>
    <row r="28" spans="1:25" ht="15.75" thickBot="1">
      <c r="A28" s="540" t="s">
        <v>342</v>
      </c>
      <c r="B28" s="541"/>
      <c r="C28" s="542"/>
      <c r="D28" s="543">
        <f>D27+D26</f>
        <v>92521.361734728751</v>
      </c>
      <c r="H28" s="540" t="s">
        <v>342</v>
      </c>
      <c r="I28" s="541"/>
      <c r="J28" s="542"/>
      <c r="K28" s="543">
        <f>K27+K26</f>
        <v>275908.22744615073</v>
      </c>
      <c r="P28" s="6" t="s">
        <v>335</v>
      </c>
      <c r="Q28" s="538">
        <v>0.125</v>
      </c>
      <c r="R28" s="539"/>
      <c r="S28" s="544"/>
      <c r="T28" s="544"/>
      <c r="U28" s="544"/>
      <c r="V28" s="544"/>
      <c r="W28" s="544"/>
      <c r="X28" s="544"/>
      <c r="Y28" s="544"/>
    </row>
    <row r="29" spans="1:25" ht="16.5" thickTop="1" thickBot="1">
      <c r="A29" s="6" t="s">
        <v>618</v>
      </c>
      <c r="B29" s="536">
        <f>Q33</f>
        <v>2.6565517099262824E-2</v>
      </c>
      <c r="C29" s="467"/>
      <c r="D29" s="517">
        <f>D28*B29</f>
        <v>2457.8778172110178</v>
      </c>
      <c r="H29" s="6" t="s">
        <v>618</v>
      </c>
      <c r="I29" s="536">
        <f>Q33</f>
        <v>2.6565517099262824E-2</v>
      </c>
      <c r="J29" s="467"/>
      <c r="K29" s="517">
        <f>K28*I29</f>
        <v>7329.6447340480136</v>
      </c>
      <c r="P29" s="6"/>
      <c r="Q29" s="1"/>
      <c r="R29" s="527"/>
      <c r="S29" s="1"/>
      <c r="T29" s="1"/>
      <c r="U29" s="1"/>
      <c r="V29" s="1"/>
      <c r="W29" s="1"/>
      <c r="X29" s="1"/>
      <c r="Y29" s="535"/>
    </row>
    <row r="30" spans="1:25" ht="15.75" thickBot="1">
      <c r="A30" s="553" t="s">
        <v>621</v>
      </c>
      <c r="B30" s="665"/>
      <c r="C30" s="666"/>
      <c r="D30" s="667">
        <f>D29+D28</f>
        <v>94979.239551939769</v>
      </c>
      <c r="H30" s="553" t="s">
        <v>621</v>
      </c>
      <c r="I30" s="665"/>
      <c r="J30" s="666"/>
      <c r="K30" s="667">
        <f>K29+K28</f>
        <v>283237.87218019873</v>
      </c>
      <c r="P30" s="98" t="s">
        <v>336</v>
      </c>
      <c r="Q30" s="845"/>
      <c r="R30" s="846">
        <v>0.34150000000000003</v>
      </c>
      <c r="S30" s="846">
        <v>0.21195</v>
      </c>
      <c r="T30" s="846">
        <v>0.21310000000000001</v>
      </c>
      <c r="U30" s="846">
        <v>0.28775000000000001</v>
      </c>
      <c r="V30" s="846">
        <v>0.20979999999999999</v>
      </c>
      <c r="W30" s="846">
        <v>0.29899999999999999</v>
      </c>
      <c r="X30" s="847">
        <v>0.16789999999999999</v>
      </c>
      <c r="Y30" s="848">
        <v>0.31219999999999998</v>
      </c>
    </row>
    <row r="31" spans="1:25" ht="15.75" thickBot="1">
      <c r="A31" s="6" t="s">
        <v>343</v>
      </c>
      <c r="B31" s="1"/>
      <c r="C31" s="545"/>
      <c r="D31" s="546">
        <v>10</v>
      </c>
      <c r="H31" s="6" t="s">
        <v>343</v>
      </c>
      <c r="I31" s="1"/>
      <c r="J31" s="545"/>
      <c r="K31" s="535">
        <v>10</v>
      </c>
      <c r="P31" s="98"/>
      <c r="Q31" s="845"/>
      <c r="R31" s="846"/>
      <c r="S31" s="849"/>
      <c r="T31" s="849"/>
      <c r="U31" s="849"/>
      <c r="V31" s="849"/>
      <c r="W31" s="849"/>
      <c r="X31" s="850"/>
      <c r="Y31" s="851"/>
    </row>
    <row r="32" spans="1:25" ht="15.75" thickBot="1">
      <c r="A32" s="6" t="s">
        <v>462</v>
      </c>
      <c r="B32" s="1"/>
      <c r="C32" s="545"/>
      <c r="D32" s="669">
        <f>2080*(1-0.154)</f>
        <v>1759.6799999999998</v>
      </c>
      <c r="H32" s="6"/>
      <c r="I32" s="1"/>
      <c r="J32" s="545"/>
      <c r="K32" s="535"/>
      <c r="P32" s="98"/>
      <c r="Q32" s="845"/>
      <c r="R32" s="846"/>
      <c r="S32" s="849"/>
      <c r="T32" s="849"/>
      <c r="U32" s="849"/>
      <c r="V32" s="849"/>
      <c r="W32" s="849"/>
      <c r="X32" s="850"/>
      <c r="Y32" s="851"/>
    </row>
    <row r="33" spans="1:25" ht="16.5" thickBot="1">
      <c r="A33" s="6" t="s">
        <v>344</v>
      </c>
      <c r="B33" s="504"/>
      <c r="C33" s="505"/>
      <c r="D33" s="548">
        <f>D30/365</f>
        <v>260.21709466284869</v>
      </c>
      <c r="H33" s="6" t="s">
        <v>344</v>
      </c>
      <c r="I33" s="504"/>
      <c r="J33" s="505"/>
      <c r="K33" s="548">
        <f>K30/K31/365</f>
        <v>77.599417035670882</v>
      </c>
      <c r="P33" s="906" t="s">
        <v>674</v>
      </c>
      <c r="Q33" s="913">
        <f>'2023 FALL CAF'!CR29</f>
        <v>2.6565517099262824E-2</v>
      </c>
      <c r="R33" s="771" t="s">
        <v>713</v>
      </c>
      <c r="S33" s="772"/>
      <c r="T33" s="773"/>
      <c r="U33" s="554"/>
      <c r="V33" s="554"/>
      <c r="W33" s="554"/>
      <c r="X33" s="554"/>
      <c r="Y33" s="555"/>
    </row>
    <row r="34" spans="1:25" ht="15" customHeight="1" thickBot="1">
      <c r="A34" s="549"/>
      <c r="B34" s="550"/>
      <c r="C34" s="551"/>
      <c r="D34" s="552">
        <f>D33</f>
        <v>260.21709466284869</v>
      </c>
      <c r="H34" s="549"/>
      <c r="I34" s="550"/>
      <c r="J34" s="551"/>
      <c r="K34" s="552">
        <f>K33</f>
        <v>77.599417035670882</v>
      </c>
    </row>
    <row r="35" spans="1:25">
      <c r="A35" s="1110"/>
      <c r="B35" s="1111"/>
      <c r="C35" s="1112" t="s">
        <v>346</v>
      </c>
      <c r="D35" s="1113"/>
      <c r="H35" s="1110"/>
      <c r="I35" s="1111"/>
      <c r="J35" s="1112" t="s">
        <v>346</v>
      </c>
      <c r="K35" s="1113"/>
    </row>
    <row r="36" spans="1:25" ht="15" customHeight="1">
      <c r="A36" s="388"/>
      <c r="D36" s="390"/>
      <c r="H36" s="388"/>
      <c r="I36" s="687"/>
      <c r="J36" s="560" t="s">
        <v>347</v>
      </c>
      <c r="K36" s="562">
        <f>K34*365/1760</f>
        <v>16.093060919329474</v>
      </c>
    </row>
    <row r="37" spans="1:25" ht="15" customHeight="1" thickBot="1">
      <c r="A37" s="571" t="s">
        <v>505</v>
      </c>
      <c r="B37" s="573"/>
      <c r="C37" s="556" t="s">
        <v>528</v>
      </c>
      <c r="D37" s="557">
        <f>D30/D32</f>
        <v>53.975290707367122</v>
      </c>
      <c r="H37" s="571" t="s">
        <v>474</v>
      </c>
      <c r="I37" s="573"/>
      <c r="J37" s="576" t="s">
        <v>537</v>
      </c>
      <c r="K37" s="557">
        <f>K34</f>
        <v>77.599417035670882</v>
      </c>
    </row>
    <row r="38" spans="1:25" ht="15" customHeight="1">
      <c r="A38" s="388"/>
      <c r="B38" s="687"/>
      <c r="C38" s="558" t="s">
        <v>349</v>
      </c>
      <c r="D38" s="559">
        <f>D34*365/12</f>
        <v>7914.9366293283138</v>
      </c>
      <c r="H38" s="388"/>
      <c r="I38" s="687"/>
      <c r="J38" s="558" t="s">
        <v>349</v>
      </c>
      <c r="K38" s="559">
        <f>K34*365/12</f>
        <v>2360.3156015016561</v>
      </c>
    </row>
    <row r="39" spans="1:25" s="1" customFormat="1" ht="15.75" customHeight="1">
      <c r="A39" s="388"/>
      <c r="B39" s="687"/>
      <c r="C39" s="560" t="s">
        <v>350</v>
      </c>
      <c r="D39" s="562">
        <f>D34*365/4</f>
        <v>23744.809887984942</v>
      </c>
      <c r="E39"/>
      <c r="F39"/>
      <c r="G39"/>
      <c r="H39" s="388"/>
      <c r="I39" s="687"/>
      <c r="J39" s="560" t="s">
        <v>350</v>
      </c>
      <c r="K39" s="562">
        <f>K34*365/4</f>
        <v>7080.946804504968</v>
      </c>
      <c r="L39"/>
      <c r="M39"/>
      <c r="N39"/>
      <c r="O39"/>
    </row>
    <row r="40" spans="1:25" ht="14.45" customHeight="1">
      <c r="A40" s="388"/>
      <c r="B40" s="687"/>
      <c r="C40" s="560" t="s">
        <v>351</v>
      </c>
      <c r="D40" s="562">
        <f>D34*365/2</f>
        <v>47489.619775969884</v>
      </c>
      <c r="H40" s="388"/>
      <c r="I40" s="687"/>
      <c r="J40" s="560" t="s">
        <v>351</v>
      </c>
      <c r="K40" s="562">
        <f>K34*365/2</f>
        <v>14161.893609009936</v>
      </c>
    </row>
    <row r="41" spans="1:25" ht="15.75" thickBot="1">
      <c r="A41" s="391"/>
      <c r="B41" s="688"/>
      <c r="C41" s="563" t="s">
        <v>352</v>
      </c>
      <c r="D41" s="564">
        <f>D34*365</f>
        <v>94979.239551939769</v>
      </c>
      <c r="H41" s="391"/>
      <c r="I41" s="688"/>
      <c r="J41" s="563" t="s">
        <v>352</v>
      </c>
      <c r="K41" s="564">
        <f>K34*365</f>
        <v>28323.787218019872</v>
      </c>
    </row>
    <row r="42" spans="1:25">
      <c r="P42" s="663"/>
      <c r="Q42" s="663"/>
      <c r="R42" s="663"/>
      <c r="S42" s="476"/>
      <c r="T42" s="476"/>
    </row>
    <row r="43" spans="1:25" ht="17.25" customHeight="1">
      <c r="P43" s="578"/>
      <c r="Q43" s="578"/>
      <c r="R43" s="578"/>
      <c r="S43" s="477" t="s">
        <v>298</v>
      </c>
      <c r="T43" s="478"/>
    </row>
    <row r="44" spans="1:25" ht="15.75" thickBot="1">
      <c r="A44" s="420"/>
      <c r="B44" s="420"/>
      <c r="C44" s="420"/>
      <c r="D44" s="420"/>
      <c r="E44" s="476"/>
      <c r="H44" s="1114"/>
      <c r="I44" s="1114"/>
      <c r="J44" s="1114"/>
      <c r="K44" s="1114"/>
      <c r="L44" s="476"/>
      <c r="O44" s="663"/>
      <c r="P44" s="578"/>
      <c r="Q44" s="579"/>
      <c r="R44" s="580"/>
      <c r="S44" s="483"/>
      <c r="T44" s="484"/>
    </row>
    <row r="45" spans="1:25" ht="30.75" thickBot="1">
      <c r="A45" s="1115" t="s">
        <v>600</v>
      </c>
      <c r="B45" s="1116"/>
      <c r="C45" s="1116"/>
      <c r="D45" s="1117"/>
      <c r="E45" s="477" t="s">
        <v>298</v>
      </c>
      <c r="H45" s="1115" t="s">
        <v>601</v>
      </c>
      <c r="I45" s="1116"/>
      <c r="J45" s="1116"/>
      <c r="K45" s="1117"/>
      <c r="L45" s="477" t="s">
        <v>298</v>
      </c>
      <c r="O45" s="578"/>
      <c r="P45" s="485"/>
      <c r="Q45" s="467"/>
      <c r="R45" s="574"/>
      <c r="S45" s="468">
        <f t="shared" ref="S45:S52" si="8">Q45*40</f>
        <v>0</v>
      </c>
      <c r="T45" s="469"/>
    </row>
    <row r="46" spans="1:25">
      <c r="A46" s="479"/>
      <c r="B46" s="480" t="s">
        <v>299</v>
      </c>
      <c r="C46" s="481" t="s">
        <v>300</v>
      </c>
      <c r="D46" s="482" t="s">
        <v>301</v>
      </c>
      <c r="E46" s="483"/>
      <c r="H46" s="479"/>
      <c r="I46" s="480" t="s">
        <v>299</v>
      </c>
      <c r="J46" s="481" t="s">
        <v>300</v>
      </c>
      <c r="K46" s="482" t="s">
        <v>301</v>
      </c>
      <c r="L46" s="483"/>
      <c r="O46" s="577"/>
      <c r="P46" s="485"/>
      <c r="Q46" s="467"/>
      <c r="R46" s="574"/>
      <c r="S46" s="468">
        <f t="shared" si="8"/>
        <v>0</v>
      </c>
      <c r="T46" s="469"/>
    </row>
    <row r="47" spans="1:25">
      <c r="A47" s="465" t="s">
        <v>303</v>
      </c>
      <c r="B47" s="466">
        <f>Q6</f>
        <v>79415.232000000018</v>
      </c>
      <c r="C47" s="467">
        <v>0.16</v>
      </c>
      <c r="D47" s="382">
        <f t="shared" ref="D47:D50" si="9">B47*C47</f>
        <v>12706.437120000002</v>
      </c>
      <c r="E47" s="472">
        <f t="shared" ref="E47:E50" si="10">C47*40</f>
        <v>6.4</v>
      </c>
      <c r="H47" s="465" t="s">
        <v>303</v>
      </c>
      <c r="I47" s="466">
        <f>Q6</f>
        <v>79415.232000000018</v>
      </c>
      <c r="J47" s="467">
        <v>0.35</v>
      </c>
      <c r="K47" s="382">
        <f t="shared" ref="K47:K52" si="11">I47*J47</f>
        <v>27795.331200000004</v>
      </c>
      <c r="L47" s="472">
        <f t="shared" ref="L47:L52" si="12">J47*40</f>
        <v>14</v>
      </c>
      <c r="O47" s="566"/>
      <c r="P47" s="485"/>
      <c r="Q47" s="467"/>
      <c r="R47" s="574"/>
      <c r="S47" s="468">
        <f t="shared" si="8"/>
        <v>0</v>
      </c>
      <c r="T47" s="469"/>
    </row>
    <row r="48" spans="1:25">
      <c r="A48" s="465" t="s">
        <v>461</v>
      </c>
      <c r="B48" s="466">
        <f>Q9</f>
        <v>80606.448000000004</v>
      </c>
      <c r="C48" s="467">
        <v>0.1</v>
      </c>
      <c r="D48" s="382">
        <f t="shared" si="9"/>
        <v>8060.6448000000009</v>
      </c>
      <c r="E48" s="472">
        <f t="shared" si="10"/>
        <v>4</v>
      </c>
      <c r="H48" s="465" t="s">
        <v>460</v>
      </c>
      <c r="I48" s="466">
        <f>Q7</f>
        <v>101383.77600000001</v>
      </c>
      <c r="J48" s="467">
        <v>0.55000000000000004</v>
      </c>
      <c r="K48" s="382">
        <f t="shared" si="11"/>
        <v>55761.07680000001</v>
      </c>
      <c r="L48" s="472">
        <f t="shared" si="12"/>
        <v>22</v>
      </c>
      <c r="O48" s="566"/>
      <c r="P48" s="485"/>
      <c r="Q48" s="467"/>
      <c r="R48" s="574"/>
      <c r="S48" s="468">
        <f t="shared" si="8"/>
        <v>0</v>
      </c>
      <c r="T48" s="469"/>
    </row>
    <row r="49" spans="1:20">
      <c r="A49" s="465" t="s">
        <v>458</v>
      </c>
      <c r="B49" s="466">
        <f>Q12</f>
        <v>53206.566400000003</v>
      </c>
      <c r="C49" s="467">
        <v>0.7</v>
      </c>
      <c r="D49" s="382">
        <f t="shared" si="9"/>
        <v>37244.59648</v>
      </c>
      <c r="E49" s="472">
        <f t="shared" si="10"/>
        <v>28</v>
      </c>
      <c r="H49" s="465" t="s">
        <v>360</v>
      </c>
      <c r="I49" s="466">
        <f>Q10</f>
        <v>64330.864000000001</v>
      </c>
      <c r="J49" s="467">
        <v>0.8</v>
      </c>
      <c r="K49" s="382">
        <f t="shared" si="11"/>
        <v>51464.691200000001</v>
      </c>
      <c r="L49" s="472">
        <f t="shared" si="12"/>
        <v>32</v>
      </c>
      <c r="O49" s="566"/>
      <c r="P49" s="485"/>
      <c r="Q49" s="467"/>
      <c r="R49" s="574"/>
      <c r="S49" s="468">
        <f t="shared" si="8"/>
        <v>0</v>
      </c>
      <c r="T49" s="469"/>
    </row>
    <row r="50" spans="1:20">
      <c r="A50" s="465" t="s">
        <v>504</v>
      </c>
      <c r="B50" s="466">
        <f>Q11</f>
        <v>88933.977599999998</v>
      </c>
      <c r="C50" s="467">
        <v>0.2</v>
      </c>
      <c r="D50" s="382">
        <f t="shared" si="9"/>
        <v>17786.79552</v>
      </c>
      <c r="E50" s="472">
        <f t="shared" si="10"/>
        <v>8</v>
      </c>
      <c r="H50" s="465" t="s">
        <v>458</v>
      </c>
      <c r="I50" s="466">
        <f>Q12</f>
        <v>53206.566400000003</v>
      </c>
      <c r="J50" s="467">
        <v>0.2</v>
      </c>
      <c r="K50" s="382">
        <f t="shared" si="11"/>
        <v>10641.313280000002</v>
      </c>
      <c r="L50" s="472">
        <f t="shared" si="12"/>
        <v>8</v>
      </c>
      <c r="O50" s="566"/>
      <c r="P50" s="485"/>
      <c r="Q50" s="467"/>
      <c r="R50" s="574"/>
      <c r="S50" s="468">
        <f t="shared" si="8"/>
        <v>0</v>
      </c>
      <c r="T50" s="469"/>
    </row>
    <row r="51" spans="1:20">
      <c r="A51" s="465" t="s">
        <v>521</v>
      </c>
      <c r="B51" s="466">
        <f>Q8</f>
        <v>65676.416000000012</v>
      </c>
      <c r="C51" s="467">
        <f>$Q$28*(SUM(C48:C50))</f>
        <v>0.125</v>
      </c>
      <c r="D51" s="382">
        <f>B51*C51</f>
        <v>8209.5520000000015</v>
      </c>
      <c r="E51" s="472" t="e">
        <f>#REF!*40</f>
        <v>#REF!</v>
      </c>
      <c r="H51" s="465" t="s">
        <v>464</v>
      </c>
      <c r="I51" s="466">
        <f>'M2021 BLS  SALARY CHART'!C20</f>
        <v>62400</v>
      </c>
      <c r="J51" s="467">
        <v>0.2</v>
      </c>
      <c r="K51" s="382">
        <f t="shared" si="11"/>
        <v>12480</v>
      </c>
      <c r="L51" s="472">
        <f t="shared" si="12"/>
        <v>8</v>
      </c>
      <c r="O51" s="566"/>
      <c r="P51" s="485"/>
      <c r="Q51" s="467"/>
      <c r="R51" s="574"/>
      <c r="S51" s="468">
        <f t="shared" si="8"/>
        <v>0</v>
      </c>
      <c r="T51" s="469"/>
    </row>
    <row r="52" spans="1:20">
      <c r="A52" s="465" t="str">
        <f>P13</f>
        <v>Clerical Support</v>
      </c>
      <c r="B52" s="466">
        <f>Q13</f>
        <v>41600</v>
      </c>
      <c r="C52" s="467">
        <v>7.0000000000000007E-2</v>
      </c>
      <c r="D52" s="382">
        <f>C52*B52</f>
        <v>2912.0000000000005</v>
      </c>
      <c r="E52" s="472"/>
      <c r="H52" s="465" t="s">
        <v>465</v>
      </c>
      <c r="I52" s="466">
        <f>Q8</f>
        <v>65676.416000000012</v>
      </c>
      <c r="J52" s="467">
        <v>0.46</v>
      </c>
      <c r="K52" s="382">
        <f t="shared" si="11"/>
        <v>30211.151360000007</v>
      </c>
      <c r="L52" s="472">
        <f t="shared" si="12"/>
        <v>18.400000000000002</v>
      </c>
      <c r="O52" s="566"/>
      <c r="P52" s="485"/>
      <c r="Q52" s="467"/>
      <c r="R52" s="574"/>
      <c r="S52" s="468">
        <f t="shared" si="8"/>
        <v>0</v>
      </c>
      <c r="T52" s="469"/>
    </row>
    <row r="53" spans="1:20">
      <c r="A53" s="463"/>
      <c r="B53" s="464"/>
      <c r="C53" s="467"/>
      <c r="D53" s="382"/>
      <c r="E53" s="470"/>
      <c r="H53" s="463" t="str">
        <f>A52</f>
        <v>Clerical Support</v>
      </c>
      <c r="I53" s="664">
        <f>Q13</f>
        <v>41600</v>
      </c>
      <c r="J53" s="467">
        <v>0.15</v>
      </c>
      <c r="K53" s="382">
        <f>J53*I53</f>
        <v>6240</v>
      </c>
      <c r="L53" s="470"/>
      <c r="O53" s="566"/>
      <c r="P53" s="464"/>
      <c r="Q53" s="467"/>
      <c r="R53" s="574"/>
      <c r="S53" s="470"/>
      <c r="T53" s="471"/>
    </row>
    <row r="54" spans="1:20">
      <c r="A54" s="497" t="s">
        <v>326</v>
      </c>
      <c r="B54" s="498"/>
      <c r="C54" s="499">
        <f>SUM(C47:C52)</f>
        <v>1.355</v>
      </c>
      <c r="D54" s="500">
        <f>SUM(D47:D52)</f>
        <v>86920.02592</v>
      </c>
      <c r="E54" s="501"/>
      <c r="H54" s="497" t="s">
        <v>326</v>
      </c>
      <c r="I54" s="498"/>
      <c r="J54" s="499">
        <f>SUM(J47:J53)</f>
        <v>2.71</v>
      </c>
      <c r="K54" s="500">
        <f>SUM(K47:K53)</f>
        <v>194593.56384000002</v>
      </c>
      <c r="L54" s="501"/>
      <c r="O54" s="575"/>
      <c r="P54" s="464"/>
      <c r="Q54" s="467"/>
      <c r="R54" s="574"/>
      <c r="S54" s="470"/>
      <c r="T54" s="471"/>
    </row>
    <row r="55" spans="1:20">
      <c r="A55" s="503"/>
      <c r="B55" s="504"/>
      <c r="C55" s="505"/>
      <c r="D55" s="506"/>
      <c r="E55" s="501"/>
      <c r="H55" s="503"/>
      <c r="I55" s="504"/>
      <c r="J55" s="505"/>
      <c r="K55" s="506"/>
      <c r="L55" s="501"/>
      <c r="O55" s="575"/>
      <c r="P55" s="504"/>
      <c r="Q55" s="505"/>
      <c r="R55" s="504"/>
      <c r="S55" s="501"/>
      <c r="T55" s="502"/>
    </row>
    <row r="56" spans="1:20">
      <c r="A56" s="503" t="s">
        <v>328</v>
      </c>
      <c r="B56" s="504"/>
      <c r="C56" s="511"/>
      <c r="D56" s="506"/>
      <c r="E56" s="512"/>
      <c r="H56" s="503" t="s">
        <v>328</v>
      </c>
      <c r="I56" s="504"/>
      <c r="J56" s="511"/>
      <c r="K56" s="506"/>
      <c r="L56" s="512"/>
      <c r="O56" s="95"/>
      <c r="P56" s="504"/>
      <c r="Q56" s="505"/>
      <c r="R56" s="504"/>
      <c r="S56" s="501"/>
      <c r="T56" s="502"/>
    </row>
    <row r="57" spans="1:20">
      <c r="A57" s="6" t="s">
        <v>329</v>
      </c>
      <c r="B57" s="515">
        <f>$Q$15</f>
        <v>0.27379999999999999</v>
      </c>
      <c r="C57" s="516"/>
      <c r="D57" s="517">
        <f>B57*D54</f>
        <v>23798.703096895999</v>
      </c>
      <c r="E57" s="518"/>
      <c r="H57" s="6" t="s">
        <v>329</v>
      </c>
      <c r="I57" s="515">
        <f>$Q$15</f>
        <v>0.27379999999999999</v>
      </c>
      <c r="J57" s="516"/>
      <c r="K57" s="517">
        <f>I57*K54</f>
        <v>53279.717779392005</v>
      </c>
      <c r="L57" s="518"/>
      <c r="O57" s="95"/>
      <c r="P57" s="504"/>
      <c r="Q57" s="511"/>
      <c r="R57" s="504"/>
      <c r="S57" s="512"/>
      <c r="T57" s="513"/>
    </row>
    <row r="58" spans="1:20">
      <c r="A58" s="523" t="s">
        <v>331</v>
      </c>
      <c r="B58" s="524"/>
      <c r="C58" s="525"/>
      <c r="D58" s="500">
        <f>D54+D57</f>
        <v>110718.729016896</v>
      </c>
      <c r="E58" s="512"/>
      <c r="H58" s="523" t="s">
        <v>331</v>
      </c>
      <c r="I58" s="524"/>
      <c r="J58" s="525"/>
      <c r="K58" s="500">
        <f>K54+K57</f>
        <v>247873.28161939202</v>
      </c>
      <c r="L58" s="512"/>
      <c r="O58" s="95"/>
      <c r="P58" s="515"/>
      <c r="Q58" s="516"/>
      <c r="R58" s="530"/>
      <c r="S58" s="518"/>
      <c r="T58" s="519"/>
    </row>
    <row r="59" spans="1:20">
      <c r="A59" s="6" t="s">
        <v>209</v>
      </c>
      <c r="B59" s="530"/>
      <c r="C59" s="531">
        <f>$Q$17</f>
        <v>5963.9694954316801</v>
      </c>
      <c r="D59" s="517">
        <f t="shared" ref="D59:D65" si="13">C59*$C$54</f>
        <v>8081.1786663099265</v>
      </c>
      <c r="E59" s="532"/>
      <c r="H59" s="6" t="s">
        <v>209</v>
      </c>
      <c r="I59" s="530"/>
      <c r="J59" s="531">
        <f>$Q$17</f>
        <v>5963.9694954316801</v>
      </c>
      <c r="K59" s="517">
        <f t="shared" ref="K59:K65" si="14">J59*$J$54</f>
        <v>16162.357332619853</v>
      </c>
      <c r="L59" s="532"/>
      <c r="O59" s="1"/>
      <c r="P59" s="530"/>
      <c r="Q59" s="467"/>
      <c r="R59" s="504"/>
      <c r="S59" s="512"/>
      <c r="T59" s="513"/>
    </row>
    <row r="60" spans="1:20">
      <c r="A60" s="6" t="s">
        <v>214</v>
      </c>
      <c r="B60" s="530"/>
      <c r="C60" s="531">
        <f>$Q$18</f>
        <v>478.85919259527293</v>
      </c>
      <c r="D60" s="517">
        <f t="shared" si="13"/>
        <v>648.8542059665948</v>
      </c>
      <c r="E60" s="533" t="s">
        <v>467</v>
      </c>
      <c r="H60" s="6" t="s">
        <v>214</v>
      </c>
      <c r="I60" s="530"/>
      <c r="J60" s="531">
        <f>$Q$18</f>
        <v>478.85919259527293</v>
      </c>
      <c r="K60" s="517">
        <f t="shared" si="14"/>
        <v>1297.7084119331896</v>
      </c>
      <c r="L60" s="533" t="s">
        <v>467</v>
      </c>
      <c r="O60" s="1"/>
      <c r="P60" s="530"/>
      <c r="Q60" s="531"/>
      <c r="R60" s="530"/>
      <c r="S60" s="532"/>
      <c r="T60" s="533"/>
    </row>
    <row r="61" spans="1:20">
      <c r="A61" s="6" t="s">
        <v>215</v>
      </c>
      <c r="B61" s="530"/>
      <c r="C61" s="531">
        <f>$Q$19</f>
        <v>1549.7007880073575</v>
      </c>
      <c r="D61" s="517">
        <f t="shared" si="13"/>
        <v>2099.8445677499694</v>
      </c>
      <c r="E61" s="533">
        <f>(D61+D63)/SUM(C48:C52)</f>
        <v>2545.4601014438836</v>
      </c>
      <c r="H61" s="6" t="s">
        <v>215</v>
      </c>
      <c r="I61" s="530"/>
      <c r="J61" s="531">
        <f>$Q$19*2</f>
        <v>3099.4015760147149</v>
      </c>
      <c r="K61" s="517">
        <f t="shared" si="14"/>
        <v>8399.3782709998777</v>
      </c>
      <c r="L61" s="533">
        <f>(K61+K63)/SUM(J48:J52)</f>
        <v>5505.5652872858664</v>
      </c>
      <c r="O61" s="1"/>
      <c r="P61" s="530"/>
      <c r="Q61" s="531"/>
      <c r="R61" s="530"/>
      <c r="S61" s="533" t="s">
        <v>467</v>
      </c>
    </row>
    <row r="62" spans="1:20">
      <c r="A62" s="6" t="s">
        <v>216</v>
      </c>
      <c r="B62" s="530"/>
      <c r="C62" s="531">
        <f>$Q$20</f>
        <v>879.07312379465145</v>
      </c>
      <c r="D62" s="517">
        <f t="shared" si="13"/>
        <v>1191.1440827417528</v>
      </c>
      <c r="E62" s="532"/>
      <c r="F62" s="533"/>
      <c r="H62" s="6" t="s">
        <v>216</v>
      </c>
      <c r="I62" s="530"/>
      <c r="J62" s="531">
        <f>$Q$20*3</f>
        <v>2637.2193713839542</v>
      </c>
      <c r="K62" s="517">
        <f t="shared" si="14"/>
        <v>7146.8644964505156</v>
      </c>
      <c r="L62" s="532"/>
      <c r="O62" s="1"/>
      <c r="P62" s="530"/>
      <c r="Q62" s="531"/>
      <c r="R62" s="530"/>
      <c r="S62" s="533" t="e">
        <f>(R62+R64)/SUM(Q46:Q50)</f>
        <v>#DIV/0!</v>
      </c>
    </row>
    <row r="63" spans="1:20">
      <c r="A63" s="6" t="s">
        <v>217</v>
      </c>
      <c r="B63" s="530"/>
      <c r="C63" s="531">
        <f>$Q$21</f>
        <v>695.1883789486875</v>
      </c>
      <c r="D63" s="517">
        <f t="shared" si="13"/>
        <v>941.9802534754715</v>
      </c>
      <c r="E63" s="532"/>
      <c r="F63" s="533"/>
      <c r="H63" s="6" t="s">
        <v>217</v>
      </c>
      <c r="I63" s="530"/>
      <c r="J63" s="531">
        <f>$Q$21*2</f>
        <v>1390.376757897375</v>
      </c>
      <c r="K63" s="517">
        <f t="shared" si="14"/>
        <v>3767.921013901886</v>
      </c>
      <c r="L63" s="532"/>
      <c r="O63" s="1"/>
      <c r="P63" s="530"/>
      <c r="Q63" s="531"/>
      <c r="R63" s="530"/>
      <c r="S63" s="532"/>
      <c r="T63" s="533"/>
    </row>
    <row r="64" spans="1:20">
      <c r="A64" s="6" t="s">
        <v>221</v>
      </c>
      <c r="B64" s="530"/>
      <c r="C64" s="531">
        <f>$Q$22</f>
        <v>1733.9343036087084</v>
      </c>
      <c r="D64" s="517">
        <f t="shared" si="13"/>
        <v>2349.4809813898</v>
      </c>
      <c r="E64" s="532"/>
      <c r="F64" s="533"/>
      <c r="H64" s="6" t="s">
        <v>221</v>
      </c>
      <c r="I64" s="530"/>
      <c r="J64" s="531">
        <f>$Q$22*2.5</f>
        <v>4334.8357590217711</v>
      </c>
      <c r="K64" s="517">
        <f t="shared" si="14"/>
        <v>11747.404906948999</v>
      </c>
      <c r="L64" s="532"/>
      <c r="O64" s="1"/>
      <c r="P64" s="530"/>
      <c r="Q64" s="531"/>
      <c r="R64" s="530"/>
      <c r="S64" s="532"/>
      <c r="T64" s="533"/>
    </row>
    <row r="65" spans="1:20">
      <c r="A65" s="6" t="s">
        <v>225</v>
      </c>
      <c r="B65" s="530"/>
      <c r="C65" s="531">
        <f>$Q$23</f>
        <v>2021.025365447505</v>
      </c>
      <c r="D65" s="517">
        <f t="shared" si="13"/>
        <v>2738.4893701813694</v>
      </c>
      <c r="E65" s="532"/>
      <c r="F65" s="533"/>
      <c r="H65" s="6" t="s">
        <v>225</v>
      </c>
      <c r="I65" s="530"/>
      <c r="J65" s="531">
        <f>$Q$23</f>
        <v>2021.025365447505</v>
      </c>
      <c r="K65" s="517">
        <f t="shared" si="14"/>
        <v>5476.9787403627388</v>
      </c>
      <c r="L65" s="532"/>
      <c r="O65" s="1"/>
      <c r="P65" s="530"/>
      <c r="Q65" s="531"/>
      <c r="R65" s="530"/>
      <c r="S65" s="532"/>
      <c r="T65" s="533"/>
    </row>
    <row r="66" spans="1:20">
      <c r="A66" s="6"/>
      <c r="B66" s="530"/>
      <c r="C66" s="467"/>
      <c r="D66" s="506"/>
      <c r="E66" s="512"/>
      <c r="F66" s="513"/>
      <c r="H66" s="6"/>
      <c r="I66" s="530"/>
      <c r="J66" s="467"/>
      <c r="K66" s="506"/>
      <c r="L66" s="532"/>
      <c r="O66" s="1"/>
      <c r="P66" s="530"/>
      <c r="Q66" s="531"/>
      <c r="R66" s="530"/>
      <c r="S66" s="532"/>
      <c r="T66" s="533"/>
    </row>
    <row r="67" spans="1:20">
      <c r="A67" s="6" t="s">
        <v>337</v>
      </c>
      <c r="B67" s="536"/>
      <c r="C67" s="467"/>
      <c r="D67" s="517">
        <f>SUM(D59:D66)</f>
        <v>18050.972127814883</v>
      </c>
      <c r="H67" s="6" t="s">
        <v>337</v>
      </c>
      <c r="I67" s="536"/>
      <c r="J67" s="467"/>
      <c r="K67" s="517">
        <f>SUM(K59:K66)</f>
        <v>53998.613173217062</v>
      </c>
      <c r="L67" s="532"/>
      <c r="O67" s="1"/>
      <c r="P67" s="530"/>
      <c r="Q67" s="467"/>
      <c r="R67" s="504"/>
      <c r="S67" s="512"/>
      <c r="T67" s="513"/>
    </row>
    <row r="68" spans="1:20">
      <c r="A68" s="523" t="s">
        <v>338</v>
      </c>
      <c r="B68" s="524"/>
      <c r="C68" s="525"/>
      <c r="D68" s="500">
        <f>D58+D67</f>
        <v>128769.70114471088</v>
      </c>
      <c r="H68" s="523" t="s">
        <v>338</v>
      </c>
      <c r="I68" s="524"/>
      <c r="J68" s="525"/>
      <c r="K68" s="500">
        <f>K58+K67</f>
        <v>301871.89479260909</v>
      </c>
      <c r="L68" s="512"/>
      <c r="O68" s="1"/>
      <c r="P68" s="581"/>
      <c r="Q68" s="467"/>
      <c r="R68" s="530"/>
      <c r="S68" s="532"/>
    </row>
    <row r="69" spans="1:20">
      <c r="A69" s="6" t="s">
        <v>341</v>
      </c>
      <c r="B69" s="536">
        <f>$Q$16</f>
        <v>0.12</v>
      </c>
      <c r="C69" s="467"/>
      <c r="D69" s="517">
        <f>B69*D68</f>
        <v>15452.364137365304</v>
      </c>
      <c r="H69" s="6" t="s">
        <v>341</v>
      </c>
      <c r="I69" s="536">
        <f>$Q$16</f>
        <v>0.12</v>
      </c>
      <c r="J69" s="467"/>
      <c r="K69" s="517">
        <f>I69*K68</f>
        <v>36224.627375113087</v>
      </c>
      <c r="L69" s="512"/>
      <c r="O69" s="1"/>
      <c r="P69" s="530"/>
      <c r="Q69" s="467"/>
      <c r="R69" s="504"/>
    </row>
    <row r="70" spans="1:20" ht="15.75" thickBot="1">
      <c r="A70" s="540" t="s">
        <v>342</v>
      </c>
      <c r="B70" s="541"/>
      <c r="C70" s="542"/>
      <c r="D70" s="543">
        <f>D69+D68</f>
        <v>144222.06528207619</v>
      </c>
      <c r="H70" s="540" t="s">
        <v>342</v>
      </c>
      <c r="I70" s="541"/>
      <c r="J70" s="542"/>
      <c r="K70" s="543">
        <f>K69+K68</f>
        <v>338096.52216772217</v>
      </c>
      <c r="L70" s="532"/>
      <c r="O70" s="1"/>
      <c r="P70" s="581"/>
      <c r="Q70" s="467"/>
      <c r="R70" s="530"/>
    </row>
    <row r="71" spans="1:20" ht="16.5" thickTop="1" thickBot="1">
      <c r="A71" s="503" t="s">
        <v>618</v>
      </c>
      <c r="B71" s="668">
        <f>Q33</f>
        <v>2.6565517099262824E-2</v>
      </c>
      <c r="C71" s="505"/>
      <c r="D71" s="506">
        <f>D70*B71</f>
        <v>3831.3337413419945</v>
      </c>
      <c r="H71" s="503" t="s">
        <v>618</v>
      </c>
      <c r="I71" s="668">
        <f>Q33</f>
        <v>2.6565517099262824E-2</v>
      </c>
      <c r="J71" s="505"/>
      <c r="K71" s="506">
        <f>K70*I71</f>
        <v>8981.7089408479151</v>
      </c>
      <c r="L71" s="533"/>
      <c r="O71" s="1"/>
      <c r="P71" s="504"/>
      <c r="Q71" s="505"/>
      <c r="R71" s="504"/>
    </row>
    <row r="72" spans="1:20" ht="15.75" thickBot="1">
      <c r="A72" s="553" t="s">
        <v>621</v>
      </c>
      <c r="B72" s="665"/>
      <c r="C72" s="666"/>
      <c r="D72" s="667">
        <f>D71+D70</f>
        <v>148053.3990234182</v>
      </c>
      <c r="H72" s="553" t="s">
        <v>621</v>
      </c>
      <c r="I72" s="665"/>
      <c r="J72" s="666"/>
      <c r="K72" s="667">
        <f>K71+K70</f>
        <v>347078.23110857006</v>
      </c>
      <c r="L72" s="533"/>
      <c r="O72" s="95"/>
      <c r="P72" s="1"/>
      <c r="Q72" s="545"/>
      <c r="R72" s="1"/>
    </row>
    <row r="73" spans="1:20">
      <c r="A73" s="6" t="s">
        <v>343</v>
      </c>
      <c r="B73" s="1"/>
      <c r="C73" s="545"/>
      <c r="D73" s="535">
        <v>10</v>
      </c>
      <c r="H73" s="6" t="s">
        <v>343</v>
      </c>
      <c r="I73" s="1"/>
      <c r="J73" s="545"/>
      <c r="K73" s="535">
        <v>10</v>
      </c>
      <c r="O73" s="1"/>
      <c r="P73" s="1"/>
      <c r="Q73" s="545"/>
      <c r="R73" s="1"/>
    </row>
    <row r="74" spans="1:20">
      <c r="A74" s="6" t="s">
        <v>462</v>
      </c>
      <c r="B74" s="1"/>
      <c r="C74" s="545"/>
      <c r="D74" s="669">
        <f>2080*(1-0.154)</f>
        <v>1759.6799999999998</v>
      </c>
      <c r="H74" s="6"/>
      <c r="I74" s="1"/>
      <c r="J74" s="545"/>
      <c r="K74" s="689">
        <f>D74</f>
        <v>1759.6799999999998</v>
      </c>
      <c r="O74" s="1"/>
      <c r="P74" s="504"/>
      <c r="Q74" s="505"/>
      <c r="R74" s="584"/>
    </row>
    <row r="75" spans="1:20" ht="15" customHeight="1">
      <c r="A75" s="6" t="s">
        <v>344</v>
      </c>
      <c r="B75" s="504"/>
      <c r="C75" s="505"/>
      <c r="D75" s="548">
        <f>D72/365</f>
        <v>405.62575074909097</v>
      </c>
      <c r="H75" s="6" t="s">
        <v>344</v>
      </c>
      <c r="I75" s="504"/>
      <c r="J75" s="505"/>
      <c r="K75" s="548">
        <f>K72/K73/365</f>
        <v>95.08992633111508</v>
      </c>
      <c r="O75" s="1"/>
      <c r="P75" s="585"/>
      <c r="Q75" s="505"/>
      <c r="R75" s="586"/>
    </row>
    <row r="76" spans="1:20" ht="17.45" customHeight="1" thickBot="1">
      <c r="A76" s="549"/>
      <c r="B76" s="550"/>
      <c r="C76" s="551"/>
      <c r="D76" s="552">
        <f>D75</f>
        <v>405.62575074909097</v>
      </c>
      <c r="H76" s="549"/>
      <c r="I76" s="550"/>
      <c r="J76" s="551"/>
      <c r="K76" s="552">
        <f>K75</f>
        <v>95.08992633111508</v>
      </c>
      <c r="O76" s="95"/>
      <c r="P76" s="530"/>
      <c r="Q76" s="1"/>
      <c r="R76" s="530"/>
    </row>
    <row r="77" spans="1:20" ht="16.5" customHeight="1">
      <c r="A77" s="379"/>
      <c r="B77" s="380"/>
      <c r="C77" s="582" t="s">
        <v>346</v>
      </c>
      <c r="D77" s="583"/>
      <c r="H77" s="1110"/>
      <c r="I77" s="1111"/>
      <c r="J77" s="1112" t="s">
        <v>346</v>
      </c>
      <c r="K77" s="1113"/>
      <c r="O77" s="1"/>
      <c r="P77" s="530"/>
      <c r="Q77" s="1"/>
      <c r="R77" s="530"/>
    </row>
    <row r="78" spans="1:20" ht="14.1" customHeight="1">
      <c r="A78" s="670"/>
      <c r="B78" s="671"/>
      <c r="C78" t="s">
        <v>537</v>
      </c>
      <c r="D78" s="842">
        <f>D75</f>
        <v>405.62575074909097</v>
      </c>
      <c r="H78" s="474" t="s">
        <v>473</v>
      </c>
      <c r="I78" s="475"/>
      <c r="J78" s="560" t="s">
        <v>347</v>
      </c>
      <c r="K78" s="562">
        <f>K76*365/1760</f>
        <v>19.720354040259661</v>
      </c>
      <c r="O78" s="1"/>
      <c r="P78" s="581"/>
      <c r="Q78" s="1"/>
      <c r="R78" s="581"/>
    </row>
    <row r="79" spans="1:20" ht="15.75" thickBot="1">
      <c r="A79" s="569"/>
      <c r="B79" s="570"/>
      <c r="C79" s="556" t="s">
        <v>528</v>
      </c>
      <c r="D79" s="557">
        <f>D72/D74</f>
        <v>84.136546999123823</v>
      </c>
      <c r="H79" s="461"/>
      <c r="I79" s="462"/>
      <c r="J79" s="556" t="s">
        <v>537</v>
      </c>
      <c r="K79" s="557">
        <f>K76</f>
        <v>95.08992633111508</v>
      </c>
      <c r="O79" s="1"/>
      <c r="P79" s="530"/>
      <c r="Q79" s="1"/>
      <c r="R79" s="530"/>
    </row>
    <row r="80" spans="1:20">
      <c r="A80" s="670"/>
      <c r="B80" s="671"/>
      <c r="C80" s="558" t="s">
        <v>349</v>
      </c>
      <c r="D80" s="559">
        <f>D76*365/12</f>
        <v>12337.783251951516</v>
      </c>
      <c r="H80" s="474"/>
      <c r="I80" s="475"/>
      <c r="J80" s="558" t="s">
        <v>349</v>
      </c>
      <c r="K80" s="559">
        <f>K76*365/12</f>
        <v>2892.318592571417</v>
      </c>
      <c r="O80" s="1"/>
      <c r="P80" s="581"/>
      <c r="Q80" s="1"/>
      <c r="R80" s="581"/>
    </row>
    <row r="81" spans="1:18">
      <c r="A81" s="670"/>
      <c r="B81" s="671"/>
      <c r="C81" s="560" t="s">
        <v>350</v>
      </c>
      <c r="D81" s="562">
        <f>D76*365/4</f>
        <v>37013.34975585455</v>
      </c>
      <c r="H81" s="474"/>
      <c r="I81" s="475"/>
      <c r="J81" s="560" t="s">
        <v>350</v>
      </c>
      <c r="K81" s="562">
        <f>K76*365/4</f>
        <v>8676.9557777142509</v>
      </c>
      <c r="O81" s="1"/>
      <c r="P81" s="504"/>
      <c r="Q81" s="95"/>
      <c r="R81" s="504"/>
    </row>
    <row r="82" spans="1:18">
      <c r="A82" s="670"/>
      <c r="B82" s="671"/>
      <c r="C82" s="560" t="s">
        <v>351</v>
      </c>
      <c r="D82" s="562">
        <f>D76*365/2</f>
        <v>74026.699511709099</v>
      </c>
      <c r="H82" s="474"/>
      <c r="I82" s="475"/>
      <c r="J82" s="560" t="s">
        <v>351</v>
      </c>
      <c r="K82" s="562">
        <f>K76*365/2</f>
        <v>17353.911555428502</v>
      </c>
      <c r="O82" s="95"/>
      <c r="P82" s="1"/>
      <c r="Q82" s="1"/>
      <c r="R82" s="1"/>
    </row>
    <row r="83" spans="1:18" ht="15.75" thickBot="1">
      <c r="A83" s="569"/>
      <c r="B83" s="570"/>
      <c r="C83" s="563" t="s">
        <v>352</v>
      </c>
      <c r="D83" s="564">
        <f>D76*365</f>
        <v>148053.3990234182</v>
      </c>
      <c r="H83" s="461"/>
      <c r="I83" s="462"/>
      <c r="J83" s="563" t="s">
        <v>352</v>
      </c>
      <c r="K83" s="564">
        <f>K76*365</f>
        <v>34707.823110857003</v>
      </c>
      <c r="O83" s="1"/>
      <c r="P83" s="1"/>
      <c r="Q83" s="1"/>
      <c r="R83" s="1"/>
    </row>
    <row r="84" spans="1:18">
      <c r="O84" s="1"/>
      <c r="P84" s="530"/>
      <c r="Q84" s="1"/>
      <c r="R84" s="530"/>
    </row>
    <row r="85" spans="1:18">
      <c r="O85" s="1"/>
    </row>
    <row r="133" ht="14.1" customHeight="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80" ht="14.1" customHeight="1"/>
    <row r="228" ht="14.45" customHeight="1"/>
    <row r="233" ht="15.6" customHeight="1"/>
  </sheetData>
  <mergeCells count="18">
    <mergeCell ref="A45:D45"/>
    <mergeCell ref="A35:B35"/>
    <mergeCell ref="H77:I77"/>
    <mergeCell ref="H35:I35"/>
    <mergeCell ref="J77:K77"/>
    <mergeCell ref="H45:K45"/>
    <mergeCell ref="O1:R1"/>
    <mergeCell ref="H44:K44"/>
    <mergeCell ref="A1:D1"/>
    <mergeCell ref="P3:Y3"/>
    <mergeCell ref="P4:Q5"/>
    <mergeCell ref="R4:Y4"/>
    <mergeCell ref="P14:Q14"/>
    <mergeCell ref="H1:K1"/>
    <mergeCell ref="A2:D2"/>
    <mergeCell ref="H2:K2"/>
    <mergeCell ref="J35:K35"/>
    <mergeCell ref="C35:D35"/>
  </mergeCells>
  <pageMargins left="0.7" right="0.7" top="0.75" bottom="0.75" header="0.3" footer="0.3"/>
  <pageSetup orientation="portrait" r:id="rId1"/>
  <ignoredErrors>
    <ignoredError sqref="B6:B8 D29 B49:C50 B51 D71 K71 I9" formula="1"/>
    <ignoredError sqref="C51" formula="1" formulaRange="1"/>
    <ignoredError sqref="R26:Y26" formulaRange="1"/>
  </ignoredError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2BB13-97A8-4D06-80B0-420483736871}">
  <sheetPr>
    <tabColor rgb="FF92D050"/>
  </sheetPr>
  <dimension ref="A1:AG384"/>
  <sheetViews>
    <sheetView topLeftCell="I1" zoomScaleNormal="100" workbookViewId="0">
      <selection activeCell="Z32" sqref="Z32"/>
    </sheetView>
  </sheetViews>
  <sheetFormatPr defaultColWidth="9.140625" defaultRowHeight="15"/>
  <cols>
    <col min="2" max="2" width="30.85546875" customWidth="1"/>
    <col min="3" max="3" width="15.42578125" customWidth="1"/>
    <col min="4" max="4" width="13.85546875" bestFit="1" customWidth="1"/>
    <col min="5" max="5" width="12.140625" customWidth="1"/>
    <col min="6" max="7" width="12.140625" hidden="1" customWidth="1"/>
    <col min="8" max="8" width="9.140625" bestFit="1" customWidth="1"/>
    <col min="9" max="9" width="30.85546875" customWidth="1"/>
    <col min="10" max="10" width="15.42578125" customWidth="1"/>
    <col min="11" max="11" width="13.85546875" bestFit="1" customWidth="1"/>
    <col min="12" max="12" width="12.140625" customWidth="1"/>
    <col min="13" max="14" width="12.140625" hidden="1" customWidth="1"/>
    <col min="15" max="15" width="10.42578125" customWidth="1"/>
    <col min="16" max="16" width="30.85546875" customWidth="1"/>
    <col min="17" max="17" width="15.42578125" customWidth="1"/>
    <col min="18" max="18" width="13.85546875" bestFit="1" customWidth="1"/>
    <col min="19" max="19" width="12.140625" customWidth="1"/>
    <col min="20" max="20" width="9.5703125" hidden="1" customWidth="1"/>
    <col min="21" max="21" width="12" hidden="1" customWidth="1"/>
    <col min="22" max="22" width="9.140625" bestFit="1" customWidth="1"/>
    <col min="24" max="24" width="37.85546875" bestFit="1" customWidth="1"/>
    <col min="25" max="25" width="10" bestFit="1" customWidth="1"/>
  </cols>
  <sheetData>
    <row r="1" spans="2:33" ht="15.75" thickBot="1">
      <c r="B1" s="1114"/>
      <c r="C1" s="1114"/>
      <c r="D1" s="1114"/>
      <c r="E1" s="1114"/>
      <c r="F1" s="476"/>
      <c r="G1" s="476"/>
      <c r="I1" s="1114"/>
      <c r="J1" s="1114"/>
      <c r="K1" s="1114"/>
      <c r="L1" s="1114"/>
      <c r="M1" s="476"/>
      <c r="P1" s="1114"/>
      <c r="Q1" s="1114"/>
      <c r="R1" s="1114"/>
      <c r="S1" s="1114"/>
      <c r="T1" s="476"/>
      <c r="U1" s="476"/>
    </row>
    <row r="2" spans="2:33" ht="15.75" customHeight="1" thickBot="1">
      <c r="B2" s="1115" t="s">
        <v>602</v>
      </c>
      <c r="C2" s="1116"/>
      <c r="D2" s="1116"/>
      <c r="E2" s="1117"/>
      <c r="F2" s="477" t="s">
        <v>298</v>
      </c>
      <c r="G2" s="478"/>
      <c r="I2" s="1115" t="s">
        <v>603</v>
      </c>
      <c r="J2" s="1116"/>
      <c r="K2" s="1116"/>
      <c r="L2" s="1117"/>
      <c r="M2" s="477" t="s">
        <v>298</v>
      </c>
      <c r="P2" s="1115" t="s">
        <v>604</v>
      </c>
      <c r="Q2" s="1116"/>
      <c r="R2" s="1116"/>
      <c r="S2" s="1117"/>
      <c r="T2" s="477" t="s">
        <v>298</v>
      </c>
      <c r="U2" s="478"/>
    </row>
    <row r="3" spans="2:33" ht="15" customHeight="1" thickBot="1">
      <c r="B3" s="479"/>
      <c r="C3" s="480" t="s">
        <v>299</v>
      </c>
      <c r="D3" s="481" t="s">
        <v>300</v>
      </c>
      <c r="E3" s="482" t="s">
        <v>301</v>
      </c>
      <c r="F3" s="483"/>
      <c r="G3" s="484"/>
      <c r="I3" s="479"/>
      <c r="J3" s="480" t="s">
        <v>299</v>
      </c>
      <c r="K3" s="481" t="s">
        <v>300</v>
      </c>
      <c r="L3" s="482" t="s">
        <v>301</v>
      </c>
      <c r="M3" s="483"/>
      <c r="P3" s="479"/>
      <c r="Q3" s="480" t="s">
        <v>299</v>
      </c>
      <c r="R3" s="481" t="s">
        <v>300</v>
      </c>
      <c r="S3" s="482" t="s">
        <v>301</v>
      </c>
      <c r="T3" s="483"/>
      <c r="U3" s="484"/>
      <c r="X3" s="1099" t="s">
        <v>302</v>
      </c>
      <c r="Y3" s="1100"/>
      <c r="Z3" s="1100"/>
      <c r="AA3" s="1100"/>
      <c r="AB3" s="1100"/>
      <c r="AC3" s="1100"/>
      <c r="AD3" s="1100"/>
      <c r="AE3" s="1100"/>
      <c r="AF3" s="1100"/>
      <c r="AG3" s="1101"/>
    </row>
    <row r="4" spans="2:33" ht="15" customHeight="1" thickBot="1">
      <c r="B4" s="465" t="s">
        <v>303</v>
      </c>
      <c r="C4" s="466">
        <f>Y6</f>
        <v>79415.232000000018</v>
      </c>
      <c r="D4" s="467">
        <v>0.44</v>
      </c>
      <c r="E4" s="382">
        <f>C4*D4</f>
        <v>34942.70208000001</v>
      </c>
      <c r="F4" s="472">
        <f t="shared" ref="F4:F6" si="0">D4*40</f>
        <v>17.600000000000001</v>
      </c>
      <c r="G4" s="473"/>
      <c r="I4" s="465" t="s">
        <v>303</v>
      </c>
      <c r="J4" s="466">
        <f>Y6</f>
        <v>79415.232000000018</v>
      </c>
      <c r="K4" s="467">
        <f>AVERAGE($Z$26:$AG$26)*(SUM(K5:K7))</f>
        <v>0.24390334197166574</v>
      </c>
      <c r="L4" s="382">
        <f t="shared" ref="L4:L7" si="1">J4*K4</f>
        <v>19369.640488255176</v>
      </c>
      <c r="M4" s="472">
        <f t="shared" ref="M4:M7" si="2">K4*40</f>
        <v>9.7561336788666289</v>
      </c>
      <c r="P4" s="465" t="s">
        <v>303</v>
      </c>
      <c r="Q4" s="466">
        <f>Y6</f>
        <v>79415.232000000018</v>
      </c>
      <c r="R4" s="467">
        <f>AVERAGE($Z$26:$AG$26)*(SUM(R5:R7))</f>
        <v>0.51737072539444251</v>
      </c>
      <c r="S4" s="382">
        <f t="shared" ref="S4:S7" si="3">Q4*R4</f>
        <v>41087.116187207954</v>
      </c>
      <c r="T4" s="468">
        <f t="shared" ref="T4:T7" si="4">R4*40</f>
        <v>20.6948290157777</v>
      </c>
      <c r="U4" s="469"/>
      <c r="X4" s="1102" t="s">
        <v>304</v>
      </c>
      <c r="Y4" s="1103"/>
      <c r="Z4" s="1106" t="s">
        <v>305</v>
      </c>
      <c r="AA4" s="1107"/>
      <c r="AB4" s="1107"/>
      <c r="AC4" s="1107"/>
      <c r="AD4" s="1107"/>
      <c r="AE4" s="1107"/>
      <c r="AF4" s="1107"/>
      <c r="AG4" s="1108"/>
    </row>
    <row r="5" spans="2:33" ht="15.75" thickBot="1">
      <c r="B5" s="465" t="s">
        <v>460</v>
      </c>
      <c r="C5" s="466">
        <f>Y8</f>
        <v>101383.77600000001</v>
      </c>
      <c r="D5" s="467">
        <v>0.5</v>
      </c>
      <c r="E5" s="382">
        <f>C5*D5</f>
        <v>50691.888000000006</v>
      </c>
      <c r="F5" s="472">
        <f t="shared" si="0"/>
        <v>20</v>
      </c>
      <c r="G5" s="473"/>
      <c r="I5" s="465" t="s">
        <v>624</v>
      </c>
      <c r="J5" s="466">
        <f>Y9</f>
        <v>80606.448000000004</v>
      </c>
      <c r="K5" s="467">
        <v>0.15</v>
      </c>
      <c r="L5" s="382">
        <f t="shared" si="1"/>
        <v>12090.967200000001</v>
      </c>
      <c r="M5" s="472">
        <f t="shared" si="2"/>
        <v>6</v>
      </c>
      <c r="P5" s="465" t="s">
        <v>460</v>
      </c>
      <c r="Q5" s="466">
        <f>Y8</f>
        <v>101383.77600000001</v>
      </c>
      <c r="R5" s="467">
        <v>0.5</v>
      </c>
      <c r="S5" s="382">
        <f t="shared" si="3"/>
        <v>50691.888000000006</v>
      </c>
      <c r="T5" s="468">
        <f t="shared" si="4"/>
        <v>20</v>
      </c>
      <c r="U5" s="469"/>
      <c r="X5" s="1104"/>
      <c r="Y5" s="1105"/>
      <c r="Z5" s="486" t="s">
        <v>307</v>
      </c>
      <c r="AA5" s="486" t="s">
        <v>308</v>
      </c>
      <c r="AB5" s="486" t="s">
        <v>309</v>
      </c>
      <c r="AC5" s="486" t="s">
        <v>310</v>
      </c>
      <c r="AD5" s="486" t="s">
        <v>311</v>
      </c>
      <c r="AE5" s="486" t="s">
        <v>312</v>
      </c>
      <c r="AF5" s="486" t="s">
        <v>313</v>
      </c>
      <c r="AG5" s="486" t="s">
        <v>314</v>
      </c>
    </row>
    <row r="6" spans="2:33">
      <c r="B6" s="465" t="s">
        <v>461</v>
      </c>
      <c r="C6" s="466">
        <f>Y9</f>
        <v>80606.448000000004</v>
      </c>
      <c r="D6" s="467">
        <v>2.5</v>
      </c>
      <c r="E6" s="382">
        <f>C6*D6</f>
        <v>201516.12</v>
      </c>
      <c r="F6" s="472">
        <f t="shared" si="0"/>
        <v>100</v>
      </c>
      <c r="G6" s="473"/>
      <c r="I6" s="465" t="s">
        <v>460</v>
      </c>
      <c r="J6" s="466">
        <f>Y8</f>
        <v>101383.77600000001</v>
      </c>
      <c r="K6" s="467">
        <f>0.5</f>
        <v>0.5</v>
      </c>
      <c r="L6" s="382">
        <f t="shared" si="1"/>
        <v>50691.888000000006</v>
      </c>
      <c r="M6" s="472">
        <f t="shared" si="2"/>
        <v>20</v>
      </c>
      <c r="P6" s="465" t="s">
        <v>461</v>
      </c>
      <c r="Q6" s="466">
        <f>Y9</f>
        <v>80606.448000000004</v>
      </c>
      <c r="R6" s="467">
        <v>1.5</v>
      </c>
      <c r="S6" s="382">
        <f t="shared" si="3"/>
        <v>120909.67200000001</v>
      </c>
      <c r="T6" s="468">
        <f t="shared" si="4"/>
        <v>60</v>
      </c>
      <c r="U6" s="469"/>
      <c r="X6" s="487" t="s">
        <v>303</v>
      </c>
      <c r="Y6" s="488">
        <f>'M2022 BLS SALARY CHART (53_PCT)'!C22</f>
        <v>79415.232000000018</v>
      </c>
      <c r="Z6" s="489">
        <v>0.20793518578803963</v>
      </c>
      <c r="AA6" s="490">
        <v>0.20793518578803963</v>
      </c>
      <c r="AB6" s="490">
        <v>0.45454545454545453</v>
      </c>
      <c r="AC6" s="490">
        <v>0.17141009055627424</v>
      </c>
      <c r="AD6" s="490">
        <v>0.57834862385321095</v>
      </c>
      <c r="AE6" s="490">
        <v>0.69090909090909092</v>
      </c>
      <c r="AF6" s="490">
        <v>0.54186582691334406</v>
      </c>
      <c r="AG6" s="491">
        <v>0.56619472021660655</v>
      </c>
    </row>
    <row r="7" spans="2:33">
      <c r="B7" s="465" t="str">
        <f>X13</f>
        <v>Clerical Support</v>
      </c>
      <c r="C7" s="466">
        <f>Y13</f>
        <v>41600</v>
      </c>
      <c r="D7" s="467">
        <v>0.22</v>
      </c>
      <c r="E7" s="382">
        <f>C7*D7</f>
        <v>9152</v>
      </c>
      <c r="F7" s="472" t="e">
        <f>#REF!*40</f>
        <v>#REF!</v>
      </c>
      <c r="G7" s="473"/>
      <c r="I7" s="465" t="s">
        <v>461</v>
      </c>
      <c r="J7" s="466">
        <f>Y9</f>
        <v>80606.448000000004</v>
      </c>
      <c r="K7" s="467">
        <v>1</v>
      </c>
      <c r="L7" s="382">
        <f t="shared" si="1"/>
        <v>80606.448000000004</v>
      </c>
      <c r="M7" s="472">
        <f t="shared" si="2"/>
        <v>40</v>
      </c>
      <c r="P7" s="465" t="s">
        <v>360</v>
      </c>
      <c r="Q7" s="466">
        <f>Y10</f>
        <v>64330.864000000001</v>
      </c>
      <c r="R7" s="467">
        <v>1.5</v>
      </c>
      <c r="S7" s="382">
        <f t="shared" si="3"/>
        <v>96496.296000000002</v>
      </c>
      <c r="T7" s="468">
        <f t="shared" si="4"/>
        <v>60</v>
      </c>
      <c r="U7" s="469"/>
      <c r="X7" s="492" t="s">
        <v>614</v>
      </c>
      <c r="Y7" s="488">
        <f>'M2022 BLS SALARY CHART (53_PCT)'!C18</f>
        <v>80606.448000000004</v>
      </c>
      <c r="Z7" s="493"/>
      <c r="AA7" s="494"/>
      <c r="AB7" s="494"/>
      <c r="AC7" s="494"/>
      <c r="AD7" s="494"/>
      <c r="AE7" s="494"/>
      <c r="AF7" s="494"/>
      <c r="AG7" s="495"/>
    </row>
    <row r="8" spans="2:33">
      <c r="B8" s="465" t="s">
        <v>521</v>
      </c>
      <c r="C8" s="466">
        <f>Y11</f>
        <v>65676.416000000012</v>
      </c>
      <c r="D8" s="467">
        <f>SUM(D5,D6)*Y28</f>
        <v>0.375</v>
      </c>
      <c r="E8" s="382">
        <f>C8*D8</f>
        <v>24628.656000000003</v>
      </c>
      <c r="F8" s="472" t="e">
        <f>#REF!*40</f>
        <v>#REF!</v>
      </c>
      <c r="G8" s="473"/>
      <c r="I8" s="465" t="str">
        <f>X13</f>
        <v>Clerical Support</v>
      </c>
      <c r="J8" s="466">
        <f>Y13</f>
        <v>41600</v>
      </c>
      <c r="K8" s="467">
        <f>$Y$27*(SUM(K5:K7))</f>
        <v>0.12297875096763061</v>
      </c>
      <c r="L8" s="382">
        <f>J8*K8</f>
        <v>5115.9160402534335</v>
      </c>
      <c r="M8" s="472" t="e">
        <f>#REF!*40</f>
        <v>#REF!</v>
      </c>
      <c r="P8" s="465" t="str">
        <f>X13</f>
        <v>Clerical Support</v>
      </c>
      <c r="Q8" s="466">
        <f>Y13</f>
        <v>41600</v>
      </c>
      <c r="R8" s="467">
        <f>$Y$27*(SUM(R5:R7))</f>
        <v>0.26086401720406494</v>
      </c>
      <c r="S8" s="382">
        <f>Q8*R8</f>
        <v>10851.943115689101</v>
      </c>
      <c r="T8" s="468" t="e">
        <f>#REF!*40</f>
        <v>#REF!</v>
      </c>
      <c r="U8" s="469"/>
      <c r="X8" s="492" t="s">
        <v>460</v>
      </c>
      <c r="Y8" s="488">
        <f>'M2022 BLS SALARY CHART (53_PCT)'!C28</f>
        <v>101383.77600000001</v>
      </c>
      <c r="Z8" s="493"/>
      <c r="AA8" s="494"/>
      <c r="AB8" s="494"/>
      <c r="AC8" s="494"/>
      <c r="AD8" s="494"/>
      <c r="AE8" s="494"/>
      <c r="AF8" s="494"/>
      <c r="AG8" s="495"/>
    </row>
    <row r="9" spans="2:33">
      <c r="B9" s="388"/>
      <c r="E9" s="390"/>
      <c r="F9" s="472">
        <f>D7*40</f>
        <v>8.8000000000000007</v>
      </c>
      <c r="G9" s="473"/>
      <c r="I9" s="465" t="s">
        <v>521</v>
      </c>
      <c r="J9" s="466">
        <f>Y11</f>
        <v>65676.416000000012</v>
      </c>
      <c r="K9" s="467">
        <f>$Y$28*(SUM(K5:K7))</f>
        <v>0.20624999999999999</v>
      </c>
      <c r="L9" s="382">
        <f>J9*K9</f>
        <v>13545.760800000002</v>
      </c>
      <c r="M9" s="472">
        <f>K8*40</f>
        <v>4.919150038705224</v>
      </c>
      <c r="P9" s="465" t="s">
        <v>521</v>
      </c>
      <c r="Q9" s="466">
        <f>Y11</f>
        <v>65676.416000000012</v>
      </c>
      <c r="R9" s="467">
        <f>$Y$28*(SUM(R5:R7))</f>
        <v>0.4375</v>
      </c>
      <c r="S9" s="382">
        <f>Q9*R9</f>
        <v>28733.432000000004</v>
      </c>
      <c r="T9" s="468">
        <f>R8*40</f>
        <v>10.434560688162598</v>
      </c>
      <c r="U9" s="469"/>
      <c r="X9" s="492" t="s">
        <v>319</v>
      </c>
      <c r="Y9" s="488">
        <f>'M2022 BLS SALARY CHART (53_PCT)'!C18</f>
        <v>80606.448000000004</v>
      </c>
      <c r="Z9" s="493"/>
      <c r="AA9" s="494"/>
      <c r="AB9" s="494">
        <v>1.1357541478464965</v>
      </c>
      <c r="AC9" s="494">
        <v>0.32923673997412672</v>
      </c>
      <c r="AD9" s="494">
        <v>2.0403669724770643</v>
      </c>
      <c r="AE9" s="494">
        <v>1.9335664335664335</v>
      </c>
      <c r="AF9" s="494">
        <v>1.8452173424056681</v>
      </c>
      <c r="AG9" s="495">
        <v>1.2765117328519857</v>
      </c>
    </row>
    <row r="10" spans="2:33">
      <c r="B10" s="463"/>
      <c r="C10" s="464"/>
      <c r="D10" s="467"/>
      <c r="E10" s="382"/>
      <c r="F10" s="470"/>
      <c r="G10" s="471"/>
      <c r="I10" s="463"/>
      <c r="J10" s="464"/>
      <c r="K10" s="467"/>
      <c r="L10" s="382"/>
      <c r="M10" s="470"/>
      <c r="P10" s="463"/>
      <c r="Q10" s="464"/>
      <c r="R10" s="467"/>
      <c r="S10" s="382"/>
      <c r="T10" s="470"/>
      <c r="U10" s="471"/>
      <c r="X10" s="492" t="s">
        <v>321</v>
      </c>
      <c r="Y10" s="488">
        <f>'M2022 BLS SALARY CHART (53_PCT)'!C14</f>
        <v>64330.864000000001</v>
      </c>
      <c r="Z10" s="493">
        <v>0.45</v>
      </c>
      <c r="AA10" s="494">
        <v>0.7</v>
      </c>
      <c r="AB10" s="494">
        <v>0.15</v>
      </c>
      <c r="AC10" s="494">
        <v>0.7</v>
      </c>
      <c r="AD10" s="494"/>
      <c r="AE10" s="494">
        <v>0.25</v>
      </c>
      <c r="AF10" s="494">
        <v>1.1000000000000001</v>
      </c>
      <c r="AG10" s="495">
        <v>0.9</v>
      </c>
    </row>
    <row r="11" spans="2:33">
      <c r="B11" s="497" t="s">
        <v>326</v>
      </c>
      <c r="C11" s="498"/>
      <c r="D11" s="499">
        <f>SUM(D4:D8)</f>
        <v>4.0350000000000001</v>
      </c>
      <c r="E11" s="500">
        <f>SUM(E4:E8)</f>
        <v>320931.36608000001</v>
      </c>
      <c r="F11" s="501"/>
      <c r="G11" s="502"/>
      <c r="I11" s="497" t="s">
        <v>326</v>
      </c>
      <c r="J11" s="498"/>
      <c r="K11" s="499">
        <f>SUM(K4:K9)</f>
        <v>2.2231320929392964</v>
      </c>
      <c r="L11" s="500">
        <f>SUM(L4:L9)</f>
        <v>181420.62052850862</v>
      </c>
      <c r="M11" s="501"/>
      <c r="P11" s="497" t="s">
        <v>326</v>
      </c>
      <c r="Q11" s="498"/>
      <c r="R11" s="499">
        <f>SUM(R4:R9)</f>
        <v>4.7157347425985074</v>
      </c>
      <c r="S11" s="500">
        <f>SUM(S4:S9)</f>
        <v>348770.34730289713</v>
      </c>
      <c r="T11" s="501"/>
      <c r="U11" s="502"/>
      <c r="X11" s="496" t="s">
        <v>465</v>
      </c>
      <c r="Y11" s="488">
        <f>'M2022 BLS SALARY CHART (53_PCT)'!C16</f>
        <v>65676.416000000012</v>
      </c>
      <c r="Z11" s="493"/>
      <c r="AA11" s="494"/>
      <c r="AB11" s="494"/>
      <c r="AC11" s="494"/>
      <c r="AD11" s="494"/>
      <c r="AE11" s="494"/>
      <c r="AF11" s="494"/>
      <c r="AG11" s="495"/>
    </row>
    <row r="12" spans="2:33">
      <c r="B12" s="503"/>
      <c r="C12" s="504"/>
      <c r="D12" s="505"/>
      <c r="E12" s="506"/>
      <c r="F12" s="501"/>
      <c r="G12" s="502"/>
      <c r="I12" s="503"/>
      <c r="J12" s="504"/>
      <c r="K12" s="505"/>
      <c r="L12" s="506"/>
      <c r="M12" s="501"/>
      <c r="P12" s="503"/>
      <c r="Q12" s="504"/>
      <c r="R12" s="505"/>
      <c r="S12" s="506"/>
      <c r="T12" s="501"/>
      <c r="U12" s="502"/>
      <c r="X12" s="496"/>
      <c r="Y12" s="488"/>
      <c r="Z12" s="493">
        <v>0.95</v>
      </c>
      <c r="AA12" s="494">
        <v>1.62</v>
      </c>
      <c r="AB12" s="494">
        <v>1.05</v>
      </c>
      <c r="AC12" s="494">
        <v>1.91</v>
      </c>
      <c r="AD12" s="494"/>
      <c r="AE12" s="494">
        <v>1.21</v>
      </c>
      <c r="AF12" s="494">
        <v>3.79</v>
      </c>
      <c r="AG12" s="495">
        <v>2.39</v>
      </c>
    </row>
    <row r="13" spans="2:33" ht="15.75" thickBot="1">
      <c r="B13" s="503" t="s">
        <v>328</v>
      </c>
      <c r="C13" s="504"/>
      <c r="D13" s="511"/>
      <c r="E13" s="506"/>
      <c r="F13" s="512"/>
      <c r="G13" s="513"/>
      <c r="I13" s="503" t="s">
        <v>328</v>
      </c>
      <c r="J13" s="504"/>
      <c r="K13" s="511"/>
      <c r="L13" s="506"/>
      <c r="M13" s="512"/>
      <c r="P13" s="503" t="s">
        <v>328</v>
      </c>
      <c r="Q13" s="504"/>
      <c r="R13" s="511"/>
      <c r="S13" s="506"/>
      <c r="T13" s="512"/>
      <c r="U13" s="513"/>
      <c r="X13" s="465" t="s">
        <v>620</v>
      </c>
      <c r="Y13" s="488">
        <f>'M2022 BLS SALARY CHART (53_PCT)'!C36</f>
        <v>41600</v>
      </c>
      <c r="Z13" s="508">
        <v>0.13543146969089426</v>
      </c>
      <c r="AA13" s="509">
        <v>0.13543146969089426</v>
      </c>
      <c r="AB13" s="509">
        <v>0.25</v>
      </c>
      <c r="AC13" s="509">
        <v>0.16558861578266496</v>
      </c>
      <c r="AD13" s="509">
        <v>0.13064220183486239</v>
      </c>
      <c r="AE13" s="509">
        <v>0.20489510489510487</v>
      </c>
      <c r="AF13" s="509">
        <v>0.33456109767755715</v>
      </c>
      <c r="AG13" s="510">
        <v>0.47354467509025272</v>
      </c>
    </row>
    <row r="14" spans="2:33" ht="15.75" thickBot="1">
      <c r="B14" s="6" t="s">
        <v>329</v>
      </c>
      <c r="C14" s="515">
        <f>$Y$15</f>
        <v>0.27379999999999999</v>
      </c>
      <c r="D14" s="516"/>
      <c r="E14" s="517">
        <f>C14*E11</f>
        <v>87871.008032704005</v>
      </c>
      <c r="F14" s="518"/>
      <c r="G14" s="519"/>
      <c r="I14" s="6" t="s">
        <v>329</v>
      </c>
      <c r="J14" s="515">
        <f>$Y$15</f>
        <v>0.27379999999999999</v>
      </c>
      <c r="K14" s="516"/>
      <c r="L14" s="517">
        <f>J14*L11</f>
        <v>49672.965900705654</v>
      </c>
      <c r="M14" s="518"/>
      <c r="P14" s="6" t="s">
        <v>329</v>
      </c>
      <c r="Q14" s="515">
        <f>$Y$15</f>
        <v>0.27379999999999999</v>
      </c>
      <c r="R14" s="516"/>
      <c r="S14" s="517">
        <f>Q14*S11</f>
        <v>95493.321091533231</v>
      </c>
      <c r="T14" s="518"/>
      <c r="U14" s="519"/>
      <c r="X14" s="1106" t="s">
        <v>325</v>
      </c>
      <c r="Y14" s="1109"/>
      <c r="Z14" s="514" t="s">
        <v>307</v>
      </c>
      <c r="AA14" s="486" t="s">
        <v>308</v>
      </c>
      <c r="AB14" s="486" t="s">
        <v>309</v>
      </c>
      <c r="AC14" s="486" t="s">
        <v>310</v>
      </c>
      <c r="AD14" s="486" t="s">
        <v>311</v>
      </c>
      <c r="AE14" s="486" t="s">
        <v>312</v>
      </c>
      <c r="AF14" s="486" t="s">
        <v>313</v>
      </c>
      <c r="AG14" s="486" t="s">
        <v>314</v>
      </c>
    </row>
    <row r="15" spans="2:33">
      <c r="B15" s="523" t="s">
        <v>331</v>
      </c>
      <c r="C15" s="524"/>
      <c r="D15" s="525"/>
      <c r="E15" s="500">
        <f>E11+E14</f>
        <v>408802.37411270401</v>
      </c>
      <c r="F15" s="512"/>
      <c r="G15" s="513"/>
      <c r="I15" s="523" t="s">
        <v>331</v>
      </c>
      <c r="J15" s="524"/>
      <c r="K15" s="525"/>
      <c r="L15" s="500">
        <f>L11+L14</f>
        <v>231093.58642921428</v>
      </c>
      <c r="M15" s="512"/>
      <c r="P15" s="523" t="s">
        <v>331</v>
      </c>
      <c r="Q15" s="524"/>
      <c r="R15" s="525"/>
      <c r="S15" s="500">
        <f>S11+S14</f>
        <v>444263.66839443037</v>
      </c>
      <c r="T15" s="512"/>
      <c r="U15" s="513"/>
      <c r="X15" s="5" t="s">
        <v>327</v>
      </c>
      <c r="Y15" s="520">
        <f>'M2022 BLS SALARY CHART (53_PCT)'!C38</f>
        <v>0.27379999999999999</v>
      </c>
      <c r="Z15" s="1041" t="s">
        <v>179</v>
      </c>
      <c r="AA15" s="521"/>
      <c r="AB15" s="521"/>
      <c r="AC15" s="521"/>
      <c r="AD15" s="521"/>
      <c r="AE15" s="521"/>
      <c r="AF15" s="521"/>
      <c r="AG15" s="522"/>
    </row>
    <row r="16" spans="2:33">
      <c r="B16" s="6" t="s">
        <v>209</v>
      </c>
      <c r="C16" s="530"/>
      <c r="D16" s="531">
        <f>$Y$17</f>
        <v>5963.9694954316801</v>
      </c>
      <c r="E16" s="517">
        <f t="shared" ref="E16:E22" si="5">D16*$D$11</f>
        <v>24064.616914066832</v>
      </c>
      <c r="F16" s="532"/>
      <c r="G16" s="533"/>
      <c r="I16" s="6" t="s">
        <v>209</v>
      </c>
      <c r="J16" s="530"/>
      <c r="K16" s="531">
        <f>$Y$17</f>
        <v>5963.9694954316801</v>
      </c>
      <c r="L16" s="517">
        <f t="shared" ref="L16:L22" si="6">K16*K$11</f>
        <v>13258.69198660515</v>
      </c>
      <c r="M16" s="532"/>
      <c r="P16" s="6" t="s">
        <v>209</v>
      </c>
      <c r="Q16" s="530"/>
      <c r="R16" s="531">
        <f>$Y$17</f>
        <v>5963.9694954316801</v>
      </c>
      <c r="S16" s="517">
        <f t="shared" ref="S16:S22" si="7">R16*$R$11</f>
        <v>28124.498153404864</v>
      </c>
      <c r="T16" s="532"/>
      <c r="U16" s="533"/>
      <c r="X16" s="6" t="s">
        <v>178</v>
      </c>
      <c r="Y16" s="526">
        <f>'M2022 BLS SALARY CHART (53_PCT)'!C41</f>
        <v>0.12</v>
      </c>
      <c r="Z16" s="1041" t="s">
        <v>179</v>
      </c>
      <c r="AA16" s="527"/>
      <c r="AB16" s="527"/>
      <c r="AC16" s="527"/>
      <c r="AD16" s="527"/>
      <c r="AE16" s="527"/>
      <c r="AF16" s="528"/>
      <c r="AG16" s="529"/>
    </row>
    <row r="17" spans="2:33">
      <c r="B17" s="6" t="s">
        <v>214</v>
      </c>
      <c r="C17" s="530"/>
      <c r="D17" s="531">
        <f>$Y$18</f>
        <v>478.85919259527293</v>
      </c>
      <c r="E17" s="517">
        <f t="shared" si="5"/>
        <v>1932.1968421219262</v>
      </c>
      <c r="F17" s="533" t="s">
        <v>467</v>
      </c>
      <c r="G17" s="533"/>
      <c r="I17" s="6" t="s">
        <v>214</v>
      </c>
      <c r="J17" s="530"/>
      <c r="K17" s="531">
        <f>$Y$18</f>
        <v>478.85919259527293</v>
      </c>
      <c r="L17" s="517">
        <f t="shared" si="6"/>
        <v>1064.5672390575508</v>
      </c>
      <c r="M17" s="533" t="s">
        <v>467</v>
      </c>
      <c r="P17" s="6" t="s">
        <v>214</v>
      </c>
      <c r="Q17" s="530"/>
      <c r="R17" s="531">
        <f>$Y$18</f>
        <v>478.85919259527293</v>
      </c>
      <c r="S17" s="517">
        <f t="shared" si="7"/>
        <v>2258.1729313341984</v>
      </c>
      <c r="T17" s="533" t="s">
        <v>467</v>
      </c>
      <c r="U17" s="533"/>
      <c r="X17" s="6" t="s">
        <v>209</v>
      </c>
      <c r="Y17" s="534">
        <v>5963.9694954316801</v>
      </c>
      <c r="Z17" s="527" t="s">
        <v>622</v>
      </c>
      <c r="AA17" s="1"/>
      <c r="AB17" s="1"/>
      <c r="AC17" s="1"/>
      <c r="AD17" s="1"/>
      <c r="AE17" s="1"/>
      <c r="AF17" s="1"/>
      <c r="AG17" s="535"/>
    </row>
    <row r="18" spans="2:33">
      <c r="B18" s="6" t="s">
        <v>215</v>
      </c>
      <c r="C18" s="530"/>
      <c r="D18" s="531">
        <f>$Y$19</f>
        <v>1549.7007880073575</v>
      </c>
      <c r="E18" s="517">
        <f t="shared" si="5"/>
        <v>6253.0426796096872</v>
      </c>
      <c r="F18" s="533">
        <f>(E18+E20)/SUM(D5:D8)</f>
        <v>2519.6461164583147</v>
      </c>
      <c r="G18" s="533"/>
      <c r="I18" s="6" t="s">
        <v>215</v>
      </c>
      <c r="J18" s="530"/>
      <c r="K18" s="531">
        <f>$Y$19</f>
        <v>1549.7007880073575</v>
      </c>
      <c r="L18" s="517">
        <f t="shared" si="6"/>
        <v>3445.1895562724735</v>
      </c>
      <c r="M18" s="533">
        <f>(L18+L20)/SUM(K5:K7)</f>
        <v>3024.657667970755</v>
      </c>
      <c r="P18" s="6" t="s">
        <v>215</v>
      </c>
      <c r="Q18" s="530"/>
      <c r="R18" s="531">
        <f>$Y$19*1.5</f>
        <v>2324.551182011036</v>
      </c>
      <c r="S18" s="517">
        <f t="shared" si="7"/>
        <v>10961.966769957869</v>
      </c>
      <c r="T18" s="533">
        <f>(S18+S20)/SUM(R5:R7)</f>
        <v>4068.654503204838</v>
      </c>
      <c r="U18" s="533"/>
      <c r="X18" s="6" t="s">
        <v>214</v>
      </c>
      <c r="Y18" s="534">
        <f>159.619730865091*3</f>
        <v>478.85919259527293</v>
      </c>
      <c r="Z18" s="527" t="s">
        <v>622</v>
      </c>
      <c r="AA18" s="1"/>
      <c r="AB18" s="1"/>
      <c r="AC18" s="1"/>
      <c r="AD18" s="1"/>
      <c r="AE18" s="1"/>
      <c r="AF18" s="1"/>
      <c r="AG18" s="535"/>
    </row>
    <row r="19" spans="2:33">
      <c r="B19" s="6" t="s">
        <v>216</v>
      </c>
      <c r="C19" s="530"/>
      <c r="D19" s="531">
        <f>$Y$20</f>
        <v>879.07312379465145</v>
      </c>
      <c r="E19" s="517">
        <f t="shared" si="5"/>
        <v>3547.0600545114189</v>
      </c>
      <c r="F19" s="532"/>
      <c r="G19" s="533"/>
      <c r="I19" s="6" t="s">
        <v>216</v>
      </c>
      <c r="J19" s="530"/>
      <c r="K19" s="531">
        <f>$Y$20</f>
        <v>879.07312379465145</v>
      </c>
      <c r="L19" s="517">
        <f t="shared" si="6"/>
        <v>1954.2956735482887</v>
      </c>
      <c r="M19" s="532"/>
      <c r="P19" s="6" t="s">
        <v>216</v>
      </c>
      <c r="Q19" s="530"/>
      <c r="R19" s="531">
        <f>$Y$20</f>
        <v>879.07312379465145</v>
      </c>
      <c r="S19" s="517">
        <f t="shared" si="7"/>
        <v>4145.4756711630362</v>
      </c>
      <c r="U19" s="533"/>
      <c r="X19" s="6" t="s">
        <v>215</v>
      </c>
      <c r="Y19" s="534">
        <f>1056.87839323969*(1.333)*1.1</f>
        <v>1549.7007880073575</v>
      </c>
      <c r="Z19" s="527" t="s">
        <v>622</v>
      </c>
      <c r="AA19" s="1"/>
      <c r="AB19" s="1"/>
      <c r="AC19" s="1"/>
      <c r="AD19" s="1"/>
      <c r="AE19" s="1"/>
      <c r="AF19" s="1"/>
      <c r="AG19" s="535"/>
    </row>
    <row r="20" spans="2:33">
      <c r="B20" s="6" t="s">
        <v>217</v>
      </c>
      <c r="C20" s="530"/>
      <c r="D20" s="531">
        <f>$Y$21</f>
        <v>695.1883789486875</v>
      </c>
      <c r="E20" s="517">
        <f t="shared" si="5"/>
        <v>2805.085109057954</v>
      </c>
      <c r="F20" s="532"/>
      <c r="G20" s="533"/>
      <c r="I20" s="6" t="s">
        <v>217</v>
      </c>
      <c r="J20" s="530"/>
      <c r="K20" s="531">
        <f>$Y$21</f>
        <v>695.1883789486875</v>
      </c>
      <c r="L20" s="517">
        <f t="shared" si="6"/>
        <v>1545.4955958792723</v>
      </c>
      <c r="M20" s="532"/>
      <c r="P20" s="6" t="s">
        <v>217</v>
      </c>
      <c r="Q20" s="530"/>
      <c r="R20" s="531">
        <f>$Y$21</f>
        <v>695.1883789486875</v>
      </c>
      <c r="S20" s="517">
        <f t="shared" si="7"/>
        <v>3278.3239912590625</v>
      </c>
      <c r="T20" s="532"/>
      <c r="U20" s="533"/>
      <c r="X20" s="6" t="s">
        <v>216</v>
      </c>
      <c r="Y20" s="534">
        <f>659.469710273557*1.333</f>
        <v>879.07312379465145</v>
      </c>
      <c r="Z20" s="527" t="s">
        <v>622</v>
      </c>
      <c r="AA20" s="1"/>
      <c r="AB20" s="1"/>
      <c r="AC20" s="1"/>
      <c r="AD20" s="1"/>
      <c r="AE20" s="1"/>
      <c r="AF20" s="1"/>
      <c r="AG20" s="535"/>
    </row>
    <row r="21" spans="2:33">
      <c r="B21" s="6" t="s">
        <v>221</v>
      </c>
      <c r="C21" s="530"/>
      <c r="D21" s="531">
        <f>$Y$22</f>
        <v>1733.9343036087084</v>
      </c>
      <c r="E21" s="517">
        <f t="shared" si="5"/>
        <v>6996.4249150611386</v>
      </c>
      <c r="F21" s="532"/>
      <c r="G21" s="533"/>
      <c r="I21" s="6" t="s">
        <v>221</v>
      </c>
      <c r="J21" s="530"/>
      <c r="K21" s="531">
        <f>$Y$22</f>
        <v>1733.9343036087084</v>
      </c>
      <c r="L21" s="517">
        <f t="shared" si="6"/>
        <v>3854.7649974008691</v>
      </c>
      <c r="M21" s="532"/>
      <c r="P21" s="6" t="s">
        <v>221</v>
      </c>
      <c r="Q21" s="530"/>
      <c r="R21" s="531">
        <f>$Y$22*3</f>
        <v>5201.8029108261253</v>
      </c>
      <c r="S21" s="517">
        <f t="shared" si="7"/>
        <v>24530.322710732806</v>
      </c>
      <c r="T21" s="532"/>
      <c r="U21" s="533"/>
      <c r="X21" s="6" t="s">
        <v>217</v>
      </c>
      <c r="Y21" s="534">
        <f>474.110604206975*1.333*1.1</f>
        <v>695.1883789486875</v>
      </c>
      <c r="Z21" s="527" t="s">
        <v>622</v>
      </c>
      <c r="AA21" s="1"/>
      <c r="AB21" s="1"/>
      <c r="AC21" s="1"/>
      <c r="AD21" s="1"/>
      <c r="AE21" s="1"/>
      <c r="AF21" s="1"/>
      <c r="AG21" s="535"/>
    </row>
    <row r="22" spans="2:33">
      <c r="B22" s="6" t="s">
        <v>225</v>
      </c>
      <c r="C22" s="530"/>
      <c r="D22" s="531">
        <f>$Y$23</f>
        <v>2021.025365447505</v>
      </c>
      <c r="E22" s="517">
        <f t="shared" si="5"/>
        <v>8154.8373495806827</v>
      </c>
      <c r="F22" s="532"/>
      <c r="G22" s="533"/>
      <c r="I22" s="6" t="s">
        <v>225</v>
      </c>
      <c r="J22" s="530"/>
      <c r="K22" s="531">
        <f>$Y$23</f>
        <v>2021.025365447505</v>
      </c>
      <c r="L22" s="517">
        <f t="shared" si="6"/>
        <v>4493.0063505707185</v>
      </c>
      <c r="M22" s="532"/>
      <c r="P22" s="6" t="s">
        <v>225</v>
      </c>
      <c r="Q22" s="530"/>
      <c r="R22" s="531">
        <f>$Y$23</f>
        <v>2021.025365447505</v>
      </c>
      <c r="S22" s="517">
        <f t="shared" si="7"/>
        <v>9530.6195315136447</v>
      </c>
      <c r="T22" s="532"/>
      <c r="U22" s="533"/>
      <c r="X22" s="6" t="s">
        <v>221</v>
      </c>
      <c r="Y22" s="534">
        <v>1733.9343036087084</v>
      </c>
      <c r="Z22" s="527" t="s">
        <v>622</v>
      </c>
      <c r="AA22" s="1"/>
      <c r="AB22" s="1"/>
      <c r="AC22" s="1"/>
      <c r="AD22" s="1"/>
      <c r="AE22" s="1"/>
      <c r="AF22" s="1"/>
      <c r="AG22" s="535"/>
    </row>
    <row r="23" spans="2:33">
      <c r="B23" s="6"/>
      <c r="C23" s="530"/>
      <c r="D23" s="467"/>
      <c r="E23" s="506"/>
      <c r="F23" s="512"/>
      <c r="G23" s="513"/>
      <c r="I23" s="6"/>
      <c r="J23" s="530"/>
      <c r="K23" s="467"/>
      <c r="L23" s="506"/>
      <c r="P23" s="6"/>
      <c r="Q23" s="530"/>
      <c r="R23" s="467"/>
      <c r="S23" s="506"/>
      <c r="T23" s="512"/>
      <c r="U23" s="513"/>
      <c r="X23" s="6" t="s">
        <v>225</v>
      </c>
      <c r="Y23" s="534">
        <f>1347.35024363167*1.5</f>
        <v>2021.025365447505</v>
      </c>
      <c r="Z23" s="527" t="s">
        <v>622</v>
      </c>
      <c r="AA23" s="1"/>
      <c r="AB23" s="1"/>
      <c r="AC23" s="1"/>
      <c r="AD23" s="1"/>
      <c r="AE23" s="1"/>
      <c r="AF23" s="1"/>
      <c r="AG23" s="535"/>
    </row>
    <row r="24" spans="2:33">
      <c r="B24" s="6" t="s">
        <v>337</v>
      </c>
      <c r="C24" s="536"/>
      <c r="D24" s="467"/>
      <c r="E24" s="517">
        <f>SUM(E16:E23)</f>
        <v>53753.263864009634</v>
      </c>
      <c r="I24" s="6" t="s">
        <v>337</v>
      </c>
      <c r="J24" s="536"/>
      <c r="K24" s="467"/>
      <c r="L24" s="517">
        <f>SUM(L16:L23)</f>
        <v>29616.011399334322</v>
      </c>
      <c r="P24" s="6" t="s">
        <v>337</v>
      </c>
      <c r="Q24" s="536"/>
      <c r="R24" s="467"/>
      <c r="S24" s="517">
        <f>SUM(S16:S23)</f>
        <v>82829.379759365474</v>
      </c>
      <c r="X24" s="6"/>
      <c r="Y24" s="534"/>
      <c r="Z24" s="527"/>
      <c r="AA24" s="1"/>
      <c r="AB24" s="1"/>
      <c r="AC24" s="1"/>
      <c r="AD24" s="1"/>
      <c r="AE24" s="1"/>
      <c r="AF24" s="1"/>
      <c r="AG24" s="535"/>
    </row>
    <row r="25" spans="2:33">
      <c r="B25" s="523" t="s">
        <v>338</v>
      </c>
      <c r="C25" s="524"/>
      <c r="D25" s="525"/>
      <c r="E25" s="500">
        <f>E15+E24</f>
        <v>462555.63797671365</v>
      </c>
      <c r="I25" s="523" t="s">
        <v>338</v>
      </c>
      <c r="J25" s="524"/>
      <c r="K25" s="525"/>
      <c r="L25" s="500">
        <f>L15+L24</f>
        <v>260709.59782854861</v>
      </c>
      <c r="P25" s="523" t="s">
        <v>338</v>
      </c>
      <c r="Q25" s="524"/>
      <c r="R25" s="525"/>
      <c r="S25" s="500">
        <f>S15+S24</f>
        <v>527093.04815379588</v>
      </c>
      <c r="X25" s="6"/>
      <c r="Y25" s="534"/>
      <c r="Z25" s="527"/>
      <c r="AA25" s="1"/>
      <c r="AB25" s="1"/>
      <c r="AC25" s="1"/>
      <c r="AD25" s="1"/>
      <c r="AE25" s="1"/>
      <c r="AF25" s="1"/>
      <c r="AG25" s="535"/>
    </row>
    <row r="26" spans="2:33">
      <c r="B26" s="6" t="s">
        <v>341</v>
      </c>
      <c r="C26" s="536">
        <f>$Y$16</f>
        <v>0.12</v>
      </c>
      <c r="D26" s="467"/>
      <c r="E26" s="517">
        <f>C26*E25</f>
        <v>55506.676557205639</v>
      </c>
      <c r="I26" s="6" t="s">
        <v>341</v>
      </c>
      <c r="J26" s="536">
        <f>$Y$16</f>
        <v>0.12</v>
      </c>
      <c r="K26" s="467"/>
      <c r="L26" s="517">
        <f>J26*L25</f>
        <v>31285.15173942583</v>
      </c>
      <c r="P26" s="6" t="s">
        <v>341</v>
      </c>
      <c r="Q26" s="536">
        <f>$Y$16</f>
        <v>0.12</v>
      </c>
      <c r="R26" s="467"/>
      <c r="S26" s="517">
        <f>Q26*S25</f>
        <v>63251.165778455506</v>
      </c>
      <c r="X26" s="6" t="s">
        <v>332</v>
      </c>
      <c r="Y26" s="534"/>
      <c r="Z26" s="537">
        <f>Z6/SUM(Z9:Z12)</f>
        <v>0.14852513270574261</v>
      </c>
      <c r="AA26" s="537">
        <f t="shared" ref="AA26:AG26" si="8">AA6/SUM(AA9:AA12)</f>
        <v>8.9627235253465345E-2</v>
      </c>
      <c r="AB26" s="537">
        <f t="shared" si="8"/>
        <v>0.19460329545578819</v>
      </c>
      <c r="AC26" s="537">
        <f t="shared" si="8"/>
        <v>5.8317891929243887E-2</v>
      </c>
      <c r="AD26" s="537">
        <f t="shared" si="8"/>
        <v>0.28345323741007189</v>
      </c>
      <c r="AE26" s="537">
        <f t="shared" si="8"/>
        <v>0.20359380151665021</v>
      </c>
      <c r="AF26" s="537">
        <f t="shared" si="8"/>
        <v>8.0452611900390686E-2</v>
      </c>
      <c r="AG26" s="537">
        <f t="shared" si="8"/>
        <v>0.12398845187308723</v>
      </c>
    </row>
    <row r="27" spans="2:33" ht="15.75" thickBot="1">
      <c r="B27" s="540" t="s">
        <v>342</v>
      </c>
      <c r="C27" s="541"/>
      <c r="D27" s="542"/>
      <c r="E27" s="543">
        <f>E26+E25</f>
        <v>518062.31453391927</v>
      </c>
      <c r="I27" s="540" t="s">
        <v>342</v>
      </c>
      <c r="J27" s="541"/>
      <c r="K27" s="542"/>
      <c r="L27" s="543">
        <f>L26+L25</f>
        <v>291994.74956797442</v>
      </c>
      <c r="P27" s="540" t="s">
        <v>342</v>
      </c>
      <c r="Q27" s="541"/>
      <c r="R27" s="542"/>
      <c r="S27" s="543">
        <f>S26+S25</f>
        <v>590344.21393225144</v>
      </c>
      <c r="X27" s="6" t="s">
        <v>334</v>
      </c>
      <c r="Y27" s="538">
        <f>AVERAGE(Z27:AG27)</f>
        <v>7.4532576344018553E-2</v>
      </c>
      <c r="Z27" s="539">
        <f>Z13/SUM(Z9:Z12)</f>
        <v>9.6736764064924471E-2</v>
      </c>
      <c r="AA27" s="539">
        <f t="shared" ref="AA27:AG27" si="9">AA13/SUM(AA9:AA12)</f>
        <v>5.8375633487454413E-2</v>
      </c>
      <c r="AB27" s="539">
        <f t="shared" si="9"/>
        <v>0.10703181250068351</v>
      </c>
      <c r="AC27" s="539">
        <f t="shared" si="9"/>
        <v>5.6337284278816749E-2</v>
      </c>
      <c r="AD27" s="539">
        <f t="shared" si="9"/>
        <v>6.4028776978417259E-2</v>
      </c>
      <c r="AE27" s="539">
        <f t="shared" si="9"/>
        <v>6.0377514012528846E-2</v>
      </c>
      <c r="AF27" s="539">
        <f t="shared" si="9"/>
        <v>4.9673392953650315E-2</v>
      </c>
      <c r="AG27" s="539">
        <f t="shared" si="9"/>
        <v>0.10369943247567294</v>
      </c>
    </row>
    <row r="28" spans="2:33" ht="16.5" thickTop="1" thickBot="1">
      <c r="B28" s="503" t="s">
        <v>618</v>
      </c>
      <c r="C28" s="668">
        <f>Y32</f>
        <v>2.6565517099262824E-2</v>
      </c>
      <c r="D28" s="505"/>
      <c r="E28" s="506">
        <f>E27*C28</f>
        <v>13762.593275234507</v>
      </c>
      <c r="I28" s="503" t="s">
        <v>618</v>
      </c>
      <c r="J28" s="668">
        <f>Y32</f>
        <v>2.6565517099262824E-2</v>
      </c>
      <c r="K28" s="505"/>
      <c r="L28" s="506">
        <f>J28*L27</f>
        <v>7756.9915125429907</v>
      </c>
      <c r="P28" s="503" t="s">
        <v>618</v>
      </c>
      <c r="Q28" s="668">
        <f>Y32</f>
        <v>2.6565517099262824E-2</v>
      </c>
      <c r="R28" s="505"/>
      <c r="S28" s="506">
        <f>S27*Q28</f>
        <v>15682.799309668097</v>
      </c>
      <c r="X28" s="6" t="s">
        <v>335</v>
      </c>
      <c r="Y28" s="538">
        <v>0.125</v>
      </c>
      <c r="Z28" s="539"/>
      <c r="AA28" s="544"/>
      <c r="AB28" s="544"/>
      <c r="AC28" s="544"/>
      <c r="AD28" s="544"/>
      <c r="AE28" s="544"/>
      <c r="AF28" s="544"/>
      <c r="AG28" s="544"/>
    </row>
    <row r="29" spans="2:33" ht="15.75" thickBot="1">
      <c r="B29" s="553" t="s">
        <v>621</v>
      </c>
      <c r="C29" s="665"/>
      <c r="D29" s="666"/>
      <c r="E29" s="667">
        <f>E28+E27</f>
        <v>531824.90780915378</v>
      </c>
      <c r="I29" s="553" t="s">
        <v>621</v>
      </c>
      <c r="J29" s="665"/>
      <c r="K29" s="666"/>
      <c r="L29" s="667">
        <f>L28+L27</f>
        <v>299751.74108051741</v>
      </c>
      <c r="P29" s="553" t="s">
        <v>621</v>
      </c>
      <c r="Q29" s="665"/>
      <c r="R29" s="666"/>
      <c r="S29" s="667">
        <f>S28+S27</f>
        <v>606027.01324191957</v>
      </c>
      <c r="X29" s="6"/>
      <c r="Y29" s="1"/>
      <c r="Z29" s="527"/>
      <c r="AA29" s="1"/>
      <c r="AB29" s="1"/>
      <c r="AC29" s="1"/>
      <c r="AD29" s="1"/>
      <c r="AE29" s="1"/>
      <c r="AF29" s="1"/>
      <c r="AG29" s="535"/>
    </row>
    <row r="30" spans="2:33" ht="15.75" thickBot="1">
      <c r="B30" s="6" t="s">
        <v>343</v>
      </c>
      <c r="C30" s="1"/>
      <c r="D30" s="545"/>
      <c r="E30" s="535">
        <v>10</v>
      </c>
      <c r="I30" s="6" t="s">
        <v>462</v>
      </c>
      <c r="J30" s="1"/>
      <c r="K30" s="545"/>
      <c r="L30" s="689">
        <f>2080*(1-0.154)</f>
        <v>1759.6799999999998</v>
      </c>
      <c r="P30" s="6" t="s">
        <v>343</v>
      </c>
      <c r="Q30" s="1"/>
      <c r="R30" s="545"/>
      <c r="S30" s="535">
        <v>10</v>
      </c>
      <c r="X30" s="98" t="s">
        <v>336</v>
      </c>
      <c r="Y30" s="845"/>
      <c r="Z30" s="846">
        <v>0.34150000000000003</v>
      </c>
      <c r="AA30" s="846">
        <v>0.21195</v>
      </c>
      <c r="AB30" s="846">
        <v>0.21310000000000001</v>
      </c>
      <c r="AC30" s="846">
        <v>0.28775000000000001</v>
      </c>
      <c r="AD30" s="846">
        <v>0.20979999999999999</v>
      </c>
      <c r="AE30" s="846">
        <v>0.29899999999999999</v>
      </c>
      <c r="AF30" s="847">
        <v>0.16789999999999999</v>
      </c>
      <c r="AG30" s="848">
        <v>0.31219999999999998</v>
      </c>
    </row>
    <row r="31" spans="2:33" ht="15.75" thickBot="1">
      <c r="B31" s="6"/>
      <c r="C31" s="1"/>
      <c r="D31" s="545"/>
      <c r="E31" s="535"/>
      <c r="I31" s="388"/>
      <c r="L31" s="390"/>
      <c r="P31" s="6"/>
      <c r="Q31" s="1"/>
      <c r="R31" s="545"/>
      <c r="S31" s="535"/>
      <c r="X31" s="98"/>
      <c r="Y31" s="845"/>
      <c r="Z31" s="846"/>
      <c r="AA31" s="849"/>
      <c r="AB31" s="849"/>
      <c r="AC31" s="849"/>
      <c r="AD31" s="849"/>
      <c r="AE31" s="849"/>
      <c r="AF31" s="850"/>
      <c r="AG31" s="851"/>
    </row>
    <row r="32" spans="2:33" ht="16.5" thickBot="1">
      <c r="B32" s="6" t="s">
        <v>344</v>
      </c>
      <c r="C32" s="504"/>
      <c r="D32" s="505"/>
      <c r="E32" s="548">
        <f>E29/E30/365</f>
        <v>145.70545419428871</v>
      </c>
      <c r="I32" s="6" t="s">
        <v>344</v>
      </c>
      <c r="J32" s="504"/>
      <c r="K32" s="505"/>
      <c r="L32" s="548">
        <f>L29/365</f>
        <v>821.23764679593808</v>
      </c>
      <c r="P32" s="6" t="s">
        <v>344</v>
      </c>
      <c r="Q32" s="504"/>
      <c r="R32" s="505"/>
      <c r="S32" s="548">
        <f>S29/S30/365</f>
        <v>166.03479814847111</v>
      </c>
      <c r="X32" s="906" t="s">
        <v>674</v>
      </c>
      <c r="Y32" s="913">
        <f>'2023 FALL CAF'!CR29</f>
        <v>2.6565517099262824E-2</v>
      </c>
      <c r="Z32" s="771" t="s">
        <v>713</v>
      </c>
      <c r="AA32" s="772"/>
      <c r="AB32" s="773"/>
      <c r="AC32" s="554"/>
      <c r="AD32" s="554"/>
      <c r="AE32" s="554"/>
      <c r="AF32" s="554"/>
      <c r="AG32" s="555"/>
    </row>
    <row r="33" spans="1:23" ht="15" hidden="1" customHeight="1">
      <c r="B33" s="549" t="str">
        <f>$X$32</f>
        <v>CAF (Apr 2023)</v>
      </c>
      <c r="C33" s="550">
        <f>$Y$32</f>
        <v>2.6565517099262824E-2</v>
      </c>
      <c r="D33" s="551"/>
      <c r="E33" s="572">
        <f>E32*(1+C33)</f>
        <v>149.57619492914296</v>
      </c>
      <c r="I33" s="549" t="str">
        <f>$X$32</f>
        <v>CAF (Apr 2023)</v>
      </c>
      <c r="J33" s="550">
        <f>$Y$32</f>
        <v>2.6565517099262824E-2</v>
      </c>
      <c r="K33" s="551"/>
      <c r="L33" s="552">
        <f>L32*(1+J33)</f>
        <v>843.05424954445402</v>
      </c>
      <c r="P33" s="549" t="str">
        <f>$X$32</f>
        <v>CAF (Apr 2023)</v>
      </c>
      <c r="Q33" s="550">
        <f>$Y$32</f>
        <v>2.6565517099262824E-2</v>
      </c>
      <c r="R33" s="551"/>
      <c r="S33" s="572">
        <f>S32*(1+Q33)</f>
        <v>170.445598417757</v>
      </c>
    </row>
    <row r="34" spans="1:23">
      <c r="B34" s="1110" t="s">
        <v>345</v>
      </c>
      <c r="C34" s="1111"/>
      <c r="D34" s="1112" t="s">
        <v>346</v>
      </c>
      <c r="E34" s="1113"/>
      <c r="I34" s="1110" t="s">
        <v>345</v>
      </c>
      <c r="J34" s="1111"/>
      <c r="K34" s="1112" t="s">
        <v>346</v>
      </c>
      <c r="L34" s="1113"/>
      <c r="P34" s="1110" t="s">
        <v>345</v>
      </c>
      <c r="Q34" s="1111"/>
      <c r="R34" s="1112" t="s">
        <v>346</v>
      </c>
      <c r="S34" s="1113"/>
    </row>
    <row r="35" spans="1:23" ht="45.6" customHeight="1">
      <c r="B35" s="1132" t="s">
        <v>476</v>
      </c>
      <c r="C35" s="1133"/>
      <c r="D35" s="560" t="s">
        <v>347</v>
      </c>
      <c r="E35" s="562">
        <f>E33*365/1760</f>
        <v>31.020063152918855</v>
      </c>
      <c r="I35" s="1132" t="s">
        <v>503</v>
      </c>
      <c r="J35" s="1133"/>
      <c r="L35" s="390"/>
      <c r="P35" s="1132" t="s">
        <v>502</v>
      </c>
      <c r="Q35" s="1133"/>
      <c r="R35" s="560" t="s">
        <v>347</v>
      </c>
      <c r="S35" s="562">
        <f>S33*365/1760</f>
        <v>35.348092853682559</v>
      </c>
    </row>
    <row r="36" spans="1:23" ht="15.75" thickBot="1">
      <c r="B36" s="1132"/>
      <c r="C36" s="1133"/>
      <c r="D36" s="556" t="s">
        <v>537</v>
      </c>
      <c r="E36" s="557">
        <f>E33</f>
        <v>149.57619492914296</v>
      </c>
      <c r="I36" s="1132"/>
      <c r="J36" s="1133"/>
      <c r="K36" s="556" t="s">
        <v>528</v>
      </c>
      <c r="L36" s="557">
        <f>L29/L30</f>
        <v>170.34446097047046</v>
      </c>
      <c r="P36" s="1132"/>
      <c r="Q36" s="1133"/>
      <c r="R36" s="556" t="s">
        <v>537</v>
      </c>
      <c r="S36" s="557">
        <f>S33</f>
        <v>170.445598417757</v>
      </c>
    </row>
    <row r="37" spans="1:23">
      <c r="A37" s="1"/>
      <c r="B37" s="1132"/>
      <c r="C37" s="1133"/>
      <c r="D37" s="558" t="s">
        <v>349</v>
      </c>
      <c r="E37" s="559">
        <f>E33*365/12</f>
        <v>4549.6092624280982</v>
      </c>
      <c r="I37" s="1132"/>
      <c r="J37" s="1133"/>
      <c r="K37" s="558" t="s">
        <v>349</v>
      </c>
      <c r="L37" s="559">
        <f>L33*365/12</f>
        <v>25642.900090310475</v>
      </c>
      <c r="P37" s="1132"/>
      <c r="Q37" s="1133"/>
      <c r="R37" s="558" t="s">
        <v>349</v>
      </c>
      <c r="S37" s="559">
        <f>S33*365/12</f>
        <v>5184.3869518734418</v>
      </c>
    </row>
    <row r="38" spans="1:23">
      <c r="B38" s="1132"/>
      <c r="C38" s="1133"/>
      <c r="D38" s="560" t="s">
        <v>350</v>
      </c>
      <c r="E38" s="562">
        <f>E33*365/4</f>
        <v>13648.827787284295</v>
      </c>
      <c r="I38" s="1132"/>
      <c r="J38" s="1133"/>
      <c r="K38" s="560" t="s">
        <v>350</v>
      </c>
      <c r="L38" s="562">
        <f>L33*365/4</f>
        <v>76928.700270931426</v>
      </c>
      <c r="P38" s="1132"/>
      <c r="Q38" s="1133"/>
      <c r="R38" s="560" t="s">
        <v>350</v>
      </c>
      <c r="S38" s="562">
        <f>S33*365/4</f>
        <v>15553.160855620326</v>
      </c>
    </row>
    <row r="39" spans="1:23" s="1" customFormat="1">
      <c r="A39"/>
      <c r="B39" s="1132"/>
      <c r="C39" s="1133"/>
      <c r="D39" s="560" t="s">
        <v>351</v>
      </c>
      <c r="E39" s="562">
        <f>E33*365/2</f>
        <v>27297.655574568591</v>
      </c>
      <c r="F39"/>
      <c r="G39"/>
      <c r="H39"/>
      <c r="I39" s="1132"/>
      <c r="J39" s="1133"/>
      <c r="K39" s="560" t="s">
        <v>351</v>
      </c>
      <c r="L39" s="562">
        <f>L33*365/2</f>
        <v>153857.40054186285</v>
      </c>
      <c r="M39"/>
      <c r="N39"/>
      <c r="O39"/>
      <c r="P39" s="1132"/>
      <c r="Q39" s="1133"/>
      <c r="R39" s="560" t="s">
        <v>351</v>
      </c>
      <c r="S39" s="562">
        <f>S33*365/2</f>
        <v>31106.321711240653</v>
      </c>
      <c r="T39"/>
      <c r="U39"/>
      <c r="V39"/>
      <c r="W39"/>
    </row>
    <row r="40" spans="1:23" ht="14.45" customHeight="1" thickBot="1">
      <c r="B40" s="1134"/>
      <c r="C40" s="1135"/>
      <c r="D40" s="563" t="s">
        <v>352</v>
      </c>
      <c r="E40" s="564">
        <f>E33*365</f>
        <v>54595.311149137182</v>
      </c>
      <c r="I40" s="1134"/>
      <c r="J40" s="1135"/>
      <c r="K40" s="563" t="s">
        <v>352</v>
      </c>
      <c r="L40" s="564">
        <f>L33*365</f>
        <v>307714.8010837257</v>
      </c>
      <c r="P40" s="1134"/>
      <c r="Q40" s="1135"/>
      <c r="R40" s="563" t="s">
        <v>352</v>
      </c>
      <c r="S40" s="564">
        <f>S33*365</f>
        <v>62212.643422481306</v>
      </c>
    </row>
    <row r="42" spans="1:23" hidden="1">
      <c r="C42" s="373" t="s">
        <v>489</v>
      </c>
      <c r="D42" s="577" t="s">
        <v>480</v>
      </c>
      <c r="E42" s="373" t="s">
        <v>499</v>
      </c>
      <c r="Q42" s="373" t="s">
        <v>489</v>
      </c>
      <c r="R42" s="577" t="s">
        <v>480</v>
      </c>
    </row>
    <row r="43" spans="1:23" hidden="1">
      <c r="B43" t="s">
        <v>481</v>
      </c>
      <c r="D43" s="587" t="s">
        <v>497</v>
      </c>
      <c r="P43" t="s">
        <v>481</v>
      </c>
      <c r="Q43" t="s">
        <v>482</v>
      </c>
      <c r="R43" s="587" t="s">
        <v>495</v>
      </c>
    </row>
    <row r="44" spans="1:23" hidden="1">
      <c r="B44" t="s">
        <v>498</v>
      </c>
      <c r="C44" t="s">
        <v>496</v>
      </c>
      <c r="D44" t="s">
        <v>506</v>
      </c>
      <c r="E44" t="s">
        <v>500</v>
      </c>
      <c r="P44" t="s">
        <v>483</v>
      </c>
      <c r="Q44" t="s">
        <v>485</v>
      </c>
      <c r="R44" t="s">
        <v>494</v>
      </c>
    </row>
    <row r="45" spans="1:23" hidden="1">
      <c r="B45" t="s">
        <v>501</v>
      </c>
      <c r="P45" t="s">
        <v>484</v>
      </c>
      <c r="Q45" t="s">
        <v>485</v>
      </c>
      <c r="R45" t="s">
        <v>486</v>
      </c>
    </row>
    <row r="46" spans="1:23" hidden="1">
      <c r="P46" t="s">
        <v>487</v>
      </c>
      <c r="Q46" t="s">
        <v>488</v>
      </c>
      <c r="R46" t="s">
        <v>493</v>
      </c>
    </row>
    <row r="47" spans="1:23" hidden="1">
      <c r="P47" t="s">
        <v>490</v>
      </c>
      <c r="Q47" t="s">
        <v>491</v>
      </c>
      <c r="R47" t="s">
        <v>492</v>
      </c>
    </row>
    <row r="48" spans="1:23" hidden="1"/>
    <row r="49" spans="2:6" ht="15.75" thickBot="1">
      <c r="B49" s="1114"/>
      <c r="C49" s="1114"/>
      <c r="D49" s="1114"/>
      <c r="E49" s="1114"/>
      <c r="F49" s="476"/>
    </row>
    <row r="50" spans="2:6" ht="30.75" hidden="1" thickBot="1">
      <c r="B50" s="1115" t="s">
        <v>518</v>
      </c>
      <c r="C50" s="1116"/>
      <c r="D50" s="1116"/>
      <c r="E50" s="1117"/>
      <c r="F50" s="477" t="s">
        <v>298</v>
      </c>
    </row>
    <row r="51" spans="2:6" hidden="1">
      <c r="B51" s="479"/>
      <c r="C51" s="480" t="s">
        <v>299</v>
      </c>
      <c r="D51" s="481" t="s">
        <v>300</v>
      </c>
      <c r="E51" s="482" t="s">
        <v>301</v>
      </c>
      <c r="F51" s="483"/>
    </row>
    <row r="52" spans="2:6" hidden="1">
      <c r="B52" s="588" t="s">
        <v>303</v>
      </c>
      <c r="C52" s="589">
        <v>0</v>
      </c>
      <c r="D52" s="590">
        <f>AVERAGE($Z$26:$AG$26)*(SUM(D53:D58))</f>
        <v>0</v>
      </c>
      <c r="E52" s="382">
        <f t="shared" ref="E52:E60" si="10">C52*D52</f>
        <v>0</v>
      </c>
      <c r="F52" s="468">
        <f t="shared" ref="F52:F60" si="11">D52*40</f>
        <v>0</v>
      </c>
    </row>
    <row r="53" spans="2:6" hidden="1">
      <c r="B53" s="591" t="s">
        <v>306</v>
      </c>
      <c r="C53" s="592">
        <v>0</v>
      </c>
      <c r="D53" s="593">
        <v>0</v>
      </c>
      <c r="E53" s="382">
        <f t="shared" si="10"/>
        <v>0</v>
      </c>
      <c r="F53" s="468">
        <f t="shared" si="11"/>
        <v>0</v>
      </c>
    </row>
    <row r="54" spans="2:6" hidden="1">
      <c r="B54" s="591" t="s">
        <v>315</v>
      </c>
      <c r="C54" s="592">
        <v>0</v>
      </c>
      <c r="D54" s="593">
        <v>0</v>
      </c>
      <c r="E54" s="382">
        <f t="shared" si="10"/>
        <v>0</v>
      </c>
      <c r="F54" s="468">
        <f t="shared" si="11"/>
        <v>0</v>
      </c>
    </row>
    <row r="55" spans="2:6" hidden="1">
      <c r="B55" s="591" t="s">
        <v>316</v>
      </c>
      <c r="C55" s="592">
        <v>0</v>
      </c>
      <c r="D55" s="593">
        <v>0</v>
      </c>
      <c r="E55" s="382">
        <f t="shared" si="10"/>
        <v>0</v>
      </c>
      <c r="F55" s="468">
        <f t="shared" si="11"/>
        <v>0</v>
      </c>
    </row>
    <row r="56" spans="2:6" hidden="1">
      <c r="B56" s="591" t="s">
        <v>317</v>
      </c>
      <c r="C56" s="592">
        <v>0</v>
      </c>
      <c r="D56" s="593">
        <v>0</v>
      </c>
      <c r="E56" s="382">
        <f t="shared" si="10"/>
        <v>0</v>
      </c>
      <c r="F56" s="468">
        <f t="shared" si="11"/>
        <v>0</v>
      </c>
    </row>
    <row r="57" spans="2:6" hidden="1">
      <c r="B57" s="591" t="s">
        <v>318</v>
      </c>
      <c r="C57" s="592">
        <v>0</v>
      </c>
      <c r="D57" s="593">
        <v>0</v>
      </c>
      <c r="E57" s="382">
        <f t="shared" si="10"/>
        <v>0</v>
      </c>
      <c r="F57" s="468">
        <f t="shared" si="11"/>
        <v>0</v>
      </c>
    </row>
    <row r="58" spans="2:6" hidden="1">
      <c r="B58" s="591" t="s">
        <v>320</v>
      </c>
      <c r="C58" s="592">
        <v>0</v>
      </c>
      <c r="D58" s="593">
        <v>0</v>
      </c>
      <c r="E58" s="382">
        <f t="shared" si="10"/>
        <v>0</v>
      </c>
      <c r="F58" s="468">
        <f t="shared" si="11"/>
        <v>0</v>
      </c>
    </row>
    <row r="59" spans="2:6" hidden="1">
      <c r="B59" s="588" t="s">
        <v>322</v>
      </c>
      <c r="C59" s="594" t="e">
        <f>#REF!</f>
        <v>#REF!</v>
      </c>
      <c r="D59" s="590">
        <f>$Y$27*(SUM(D53:D58))</f>
        <v>0</v>
      </c>
      <c r="E59" s="382" t="e">
        <f t="shared" si="10"/>
        <v>#REF!</v>
      </c>
      <c r="F59" s="468">
        <f t="shared" si="11"/>
        <v>0</v>
      </c>
    </row>
    <row r="60" spans="2:6" hidden="1">
      <c r="B60" s="588" t="s">
        <v>323</v>
      </c>
      <c r="C60" s="594" t="e">
        <f>#REF!</f>
        <v>#REF!</v>
      </c>
      <c r="D60" s="590">
        <f>$Y$28*(SUM(D53:D58))</f>
        <v>0</v>
      </c>
      <c r="E60" s="382" t="e">
        <f t="shared" si="10"/>
        <v>#REF!</v>
      </c>
      <c r="F60" s="468">
        <f t="shared" si="11"/>
        <v>0</v>
      </c>
    </row>
    <row r="61" spans="2:6" hidden="1">
      <c r="B61" s="463"/>
      <c r="C61" s="464"/>
      <c r="D61" s="467"/>
      <c r="E61" s="382"/>
      <c r="F61" s="470"/>
    </row>
    <row r="62" spans="2:6" hidden="1">
      <c r="B62" s="463"/>
      <c r="C62" s="464"/>
      <c r="D62" s="467"/>
      <c r="E62" s="382"/>
      <c r="F62" s="470"/>
    </row>
    <row r="63" spans="2:6" hidden="1">
      <c r="B63" s="497" t="s">
        <v>326</v>
      </c>
      <c r="C63" s="498"/>
      <c r="D63" s="499">
        <f>SUM(D52:D60)</f>
        <v>0</v>
      </c>
      <c r="E63" s="500" t="e">
        <f>SUM(E52:E60)</f>
        <v>#REF!</v>
      </c>
      <c r="F63" s="501"/>
    </row>
    <row r="64" spans="2:6" hidden="1">
      <c r="B64" s="503"/>
      <c r="C64" s="504"/>
      <c r="D64" s="505"/>
      <c r="E64" s="506"/>
      <c r="F64" s="501"/>
    </row>
    <row r="65" spans="2:6" hidden="1">
      <c r="B65" s="503" t="s">
        <v>328</v>
      </c>
      <c r="C65" s="504"/>
      <c r="D65" s="511"/>
      <c r="E65" s="506"/>
      <c r="F65" s="512"/>
    </row>
    <row r="66" spans="2:6" hidden="1">
      <c r="B66" s="6" t="s">
        <v>329</v>
      </c>
      <c r="C66" s="515">
        <f>$Y$15</f>
        <v>0.27379999999999999</v>
      </c>
      <c r="D66" s="516"/>
      <c r="E66" s="517" t="e">
        <f>C66*E63</f>
        <v>#REF!</v>
      </c>
      <c r="F66" s="518"/>
    </row>
    <row r="67" spans="2:6" hidden="1">
      <c r="B67" s="523" t="s">
        <v>331</v>
      </c>
      <c r="C67" s="524"/>
      <c r="D67" s="525"/>
      <c r="E67" s="500" t="e">
        <f>E63+E66</f>
        <v>#REF!</v>
      </c>
      <c r="F67" s="512"/>
    </row>
    <row r="68" spans="2:6" hidden="1">
      <c r="B68" s="6" t="s">
        <v>209</v>
      </c>
      <c r="C68" s="530"/>
      <c r="D68" s="531">
        <f>$Y$17</f>
        <v>5963.9694954316801</v>
      </c>
      <c r="E68" s="517">
        <f t="shared" ref="E68:E77" si="12">D68*$D$63</f>
        <v>0</v>
      </c>
      <c r="F68" s="532"/>
    </row>
    <row r="69" spans="2:6" hidden="1">
      <c r="B69" s="6" t="s">
        <v>214</v>
      </c>
      <c r="C69" s="530"/>
      <c r="D69" s="531">
        <f>$Y$18</f>
        <v>478.85919259527293</v>
      </c>
      <c r="E69" s="517">
        <f t="shared" si="12"/>
        <v>0</v>
      </c>
      <c r="F69" s="533" t="s">
        <v>467</v>
      </c>
    </row>
    <row r="70" spans="2:6" hidden="1">
      <c r="B70" s="6" t="s">
        <v>215</v>
      </c>
      <c r="C70" s="530"/>
      <c r="D70" s="531">
        <f>$Y$19</f>
        <v>1549.7007880073575</v>
      </c>
      <c r="E70" s="517">
        <f t="shared" si="12"/>
        <v>0</v>
      </c>
      <c r="F70" s="533" t="e">
        <f>(E70+E72)/SUM(D53:D58)</f>
        <v>#DIV/0!</v>
      </c>
    </row>
    <row r="71" spans="2:6" hidden="1">
      <c r="B71" s="6" t="s">
        <v>216</v>
      </c>
      <c r="C71" s="530"/>
      <c r="D71" s="531">
        <f>$Y$20</f>
        <v>879.07312379465145</v>
      </c>
      <c r="E71" s="517">
        <f t="shared" si="12"/>
        <v>0</v>
      </c>
      <c r="F71" s="533"/>
    </row>
    <row r="72" spans="2:6" hidden="1">
      <c r="B72" s="6" t="s">
        <v>217</v>
      </c>
      <c r="C72" s="530"/>
      <c r="D72" s="531">
        <f>$Y$21</f>
        <v>695.1883789486875</v>
      </c>
      <c r="E72" s="517">
        <f t="shared" si="12"/>
        <v>0</v>
      </c>
      <c r="F72" s="532"/>
    </row>
    <row r="73" spans="2:6" hidden="1">
      <c r="B73" s="6" t="s">
        <v>221</v>
      </c>
      <c r="C73" s="530"/>
      <c r="D73" s="531">
        <f>$Y$22</f>
        <v>1733.9343036087084</v>
      </c>
      <c r="E73" s="517">
        <f t="shared" si="12"/>
        <v>0</v>
      </c>
      <c r="F73" s="532"/>
    </row>
    <row r="74" spans="2:6" hidden="1">
      <c r="B74" s="6" t="s">
        <v>225</v>
      </c>
      <c r="C74" s="530"/>
      <c r="D74" s="531">
        <f>$Y$23</f>
        <v>2021.025365447505</v>
      </c>
      <c r="E74" s="517">
        <f t="shared" si="12"/>
        <v>0</v>
      </c>
      <c r="F74" s="532"/>
    </row>
    <row r="75" spans="2:6" hidden="1">
      <c r="B75" s="595" t="s">
        <v>333</v>
      </c>
      <c r="C75" s="596"/>
      <c r="D75" s="597">
        <v>0</v>
      </c>
      <c r="E75" s="517">
        <f t="shared" si="12"/>
        <v>0</v>
      </c>
      <c r="F75" s="532"/>
    </row>
    <row r="76" spans="2:6" hidden="1">
      <c r="B76" s="595" t="s">
        <v>333</v>
      </c>
      <c r="C76" s="596"/>
      <c r="D76" s="597">
        <v>0</v>
      </c>
      <c r="E76" s="517">
        <f t="shared" si="12"/>
        <v>0</v>
      </c>
      <c r="F76" s="532"/>
    </row>
    <row r="77" spans="2:6" hidden="1">
      <c r="B77" s="595" t="s">
        <v>333</v>
      </c>
      <c r="C77" s="596"/>
      <c r="D77" s="597">
        <v>0</v>
      </c>
      <c r="E77" s="517">
        <f t="shared" si="12"/>
        <v>0</v>
      </c>
      <c r="F77" s="512"/>
    </row>
    <row r="78" spans="2:6" hidden="1">
      <c r="B78" s="6"/>
      <c r="C78" s="530"/>
      <c r="D78" s="467"/>
      <c r="E78" s="506"/>
      <c r="F78" s="512"/>
    </row>
    <row r="79" spans="2:6" hidden="1">
      <c r="B79" s="6" t="s">
        <v>337</v>
      </c>
      <c r="C79" s="536"/>
      <c r="D79" s="467"/>
      <c r="E79" s="517">
        <f>SUM(E68:E78)</f>
        <v>0</v>
      </c>
    </row>
    <row r="80" spans="2:6" hidden="1">
      <c r="B80" s="523" t="s">
        <v>338</v>
      </c>
      <c r="C80" s="524"/>
      <c r="D80" s="525"/>
      <c r="E80" s="500" t="e">
        <f>E67+E79</f>
        <v>#REF!</v>
      </c>
    </row>
    <row r="81" spans="2:5" hidden="1">
      <c r="B81" s="6" t="s">
        <v>341</v>
      </c>
      <c r="C81" s="536">
        <f>$Y$16</f>
        <v>0.12</v>
      </c>
      <c r="D81" s="467"/>
      <c r="E81" s="517" t="e">
        <f>C81*E80</f>
        <v>#REF!</v>
      </c>
    </row>
    <row r="82" spans="2:5" ht="15.75" hidden="1" thickBot="1">
      <c r="B82" s="540" t="s">
        <v>342</v>
      </c>
      <c r="C82" s="541"/>
      <c r="D82" s="542"/>
      <c r="E82" s="543" t="e">
        <f>E81+E80</f>
        <v>#REF!</v>
      </c>
    </row>
    <row r="83" spans="2:5" ht="15.75" hidden="1" thickTop="1">
      <c r="B83" s="6" t="s">
        <v>343</v>
      </c>
      <c r="C83" s="1"/>
      <c r="D83" s="545"/>
      <c r="E83" s="546">
        <v>10</v>
      </c>
    </row>
    <row r="84" spans="2:5" hidden="1">
      <c r="B84" s="6"/>
      <c r="C84" s="1"/>
      <c r="D84" s="545"/>
      <c r="E84" s="546"/>
    </row>
    <row r="85" spans="2:5" hidden="1">
      <c r="B85" s="6" t="s">
        <v>344</v>
      </c>
      <c r="C85" s="504"/>
      <c r="D85" s="505"/>
      <c r="E85" s="548" t="e">
        <f>E82/E83/365</f>
        <v>#REF!</v>
      </c>
    </row>
    <row r="86" spans="2:5" ht="15.75" hidden="1" thickBot="1">
      <c r="B86" s="549" t="str">
        <f>$X$32</f>
        <v>CAF (Apr 2023)</v>
      </c>
      <c r="C86" s="550">
        <f>$Y$32</f>
        <v>2.6565517099262824E-2</v>
      </c>
      <c r="D86" s="551"/>
      <c r="E86" s="572" t="e">
        <f>E85*(1+C86)</f>
        <v>#REF!</v>
      </c>
    </row>
    <row r="87" spans="2:5" hidden="1">
      <c r="B87" s="1110" t="s">
        <v>345</v>
      </c>
      <c r="C87" s="1111"/>
      <c r="D87" s="1112" t="s">
        <v>346</v>
      </c>
      <c r="E87" s="1113"/>
    </row>
    <row r="88" spans="2:5" hidden="1">
      <c r="B88" s="1132" t="s">
        <v>478</v>
      </c>
      <c r="C88" s="1133"/>
      <c r="D88" s="560" t="s">
        <v>347</v>
      </c>
      <c r="E88" s="598" t="e">
        <f>E86*365/1952</f>
        <v>#REF!</v>
      </c>
    </row>
    <row r="89" spans="2:5" hidden="1">
      <c r="B89" s="1132"/>
      <c r="C89" s="1133"/>
      <c r="D89" s="560" t="s">
        <v>348</v>
      </c>
      <c r="E89" s="598" t="e">
        <f>E86</f>
        <v>#REF!</v>
      </c>
    </row>
    <row r="90" spans="2:5" hidden="1">
      <c r="B90" s="1132"/>
      <c r="C90" s="1133"/>
      <c r="D90" s="560" t="s">
        <v>349</v>
      </c>
      <c r="E90" s="598" t="e">
        <f>E86*365/12</f>
        <v>#REF!</v>
      </c>
    </row>
    <row r="91" spans="2:5" hidden="1">
      <c r="B91" s="1132"/>
      <c r="C91" s="1133"/>
      <c r="D91" s="560" t="s">
        <v>350</v>
      </c>
      <c r="E91" s="598" t="e">
        <f>E86*365/4</f>
        <v>#REF!</v>
      </c>
    </row>
    <row r="92" spans="2:5" hidden="1">
      <c r="B92" s="1132"/>
      <c r="C92" s="1133"/>
      <c r="D92" s="560" t="s">
        <v>351</v>
      </c>
      <c r="E92" s="598" t="e">
        <f>E86*365/2</f>
        <v>#REF!</v>
      </c>
    </row>
    <row r="93" spans="2:5" ht="15.75" hidden="1" thickBot="1">
      <c r="B93" s="1134"/>
      <c r="C93" s="1135"/>
      <c r="D93" s="563" t="s">
        <v>352</v>
      </c>
      <c r="E93" s="599" t="e">
        <f>E86*365</f>
        <v>#REF!</v>
      </c>
    </row>
    <row r="94" spans="2:5" hidden="1"/>
    <row r="95" spans="2:5" hidden="1">
      <c r="B95" t="s">
        <v>477</v>
      </c>
    </row>
    <row r="137" ht="14.45" customHeight="1"/>
    <row r="188" ht="14.1" customHeight="1"/>
    <row r="235" ht="14.1" customHeight="1"/>
    <row r="284" ht="14.1" customHeight="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31" ht="14.1" customHeight="1"/>
    <row r="379" ht="14.45" customHeight="1"/>
    <row r="384" ht="15.6" customHeight="1"/>
  </sheetData>
  <mergeCells count="24">
    <mergeCell ref="B88:C93"/>
    <mergeCell ref="B34:C34"/>
    <mergeCell ref="D34:E34"/>
    <mergeCell ref="P34:Q34"/>
    <mergeCell ref="B50:E50"/>
    <mergeCell ref="B87:C87"/>
    <mergeCell ref="D87:E87"/>
    <mergeCell ref="I34:J34"/>
    <mergeCell ref="K34:L34"/>
    <mergeCell ref="B1:E1"/>
    <mergeCell ref="P1:S1"/>
    <mergeCell ref="B49:E49"/>
    <mergeCell ref="B2:E2"/>
    <mergeCell ref="P2:S2"/>
    <mergeCell ref="I1:L1"/>
    <mergeCell ref="I2:L2"/>
    <mergeCell ref="I35:J40"/>
    <mergeCell ref="P35:Q40"/>
    <mergeCell ref="B35:C40"/>
    <mergeCell ref="X3:AG3"/>
    <mergeCell ref="X4:Y5"/>
    <mergeCell ref="Z4:AG4"/>
    <mergeCell ref="X14:Y14"/>
    <mergeCell ref="R34:S34"/>
  </mergeCells>
  <pageMargins left="0.7" right="0.7" top="0.75" bottom="0.75" header="0.3" footer="0.3"/>
  <pageSetup orientation="portrait" r:id="rId1"/>
  <ignoredErrors>
    <ignoredError sqref="C7 J5:J8 E28 L27 S28" formula="1"/>
    <ignoredError sqref="Z26:AG26" formulaRange="1"/>
  </ignoredError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7B11E-1C30-4667-8D1D-123E72D6EC61}">
  <sheetPr>
    <tabColor rgb="FF92D050"/>
  </sheetPr>
  <dimension ref="B1:AK284"/>
  <sheetViews>
    <sheetView zoomScaleNormal="100" workbookViewId="0">
      <selection activeCell="Z33" sqref="Z33"/>
    </sheetView>
  </sheetViews>
  <sheetFormatPr defaultColWidth="9.140625" defaultRowHeight="15"/>
  <cols>
    <col min="2" max="2" width="30.85546875" customWidth="1"/>
    <col min="3" max="3" width="15.42578125" customWidth="1"/>
    <col min="4" max="4" width="13.85546875" bestFit="1" customWidth="1"/>
    <col min="5" max="5" width="12.140625" customWidth="1"/>
    <col min="6" max="7" width="12.140625" hidden="1" customWidth="1"/>
    <col min="8" max="8" width="9.140625" bestFit="1" customWidth="1"/>
    <col min="9" max="9" width="30.85546875" hidden="1" customWidth="1"/>
    <col min="10" max="10" width="15.42578125" hidden="1" customWidth="1"/>
    <col min="11" max="11" width="13.85546875" hidden="1" customWidth="1"/>
    <col min="12" max="14" width="12.140625" hidden="1" customWidth="1"/>
    <col min="15" max="15" width="10.42578125" hidden="1" customWidth="1"/>
    <col min="16" max="16" width="30.85546875" hidden="1" customWidth="1"/>
    <col min="17" max="17" width="15.42578125" hidden="1" customWidth="1"/>
    <col min="18" max="18" width="13.85546875" hidden="1" customWidth="1"/>
    <col min="19" max="19" width="12.140625" hidden="1" customWidth="1"/>
    <col min="20" max="20" width="9.5703125" hidden="1" customWidth="1"/>
    <col min="21" max="21" width="12" hidden="1" customWidth="1"/>
    <col min="22" max="22" width="9.140625" hidden="1" customWidth="1"/>
    <col min="24" max="24" width="37.85546875" bestFit="1" customWidth="1"/>
    <col min="25" max="25" width="10" bestFit="1" customWidth="1"/>
    <col min="33" max="33" width="10.85546875" customWidth="1"/>
  </cols>
  <sheetData>
    <row r="1" spans="2:35" ht="15.75" thickBot="1">
      <c r="B1" s="1114"/>
      <c r="C1" s="1114"/>
      <c r="D1" s="1114"/>
      <c r="E1" s="1114"/>
    </row>
    <row r="2" spans="2:35" ht="13.5" customHeight="1" thickBot="1">
      <c r="B2" s="1115" t="s">
        <v>605</v>
      </c>
      <c r="C2" s="1116"/>
      <c r="D2" s="1116"/>
      <c r="E2" s="1117"/>
      <c r="F2" s="477" t="s">
        <v>298</v>
      </c>
      <c r="G2" s="478"/>
    </row>
    <row r="3" spans="2:35" ht="15.75" thickBot="1">
      <c r="B3" s="479"/>
      <c r="C3" s="480" t="s">
        <v>299</v>
      </c>
      <c r="D3" s="481" t="s">
        <v>300</v>
      </c>
      <c r="E3" s="482" t="s">
        <v>301</v>
      </c>
      <c r="F3" s="483"/>
      <c r="G3" s="484"/>
    </row>
    <row r="4" spans="2:35" ht="15" customHeight="1" thickBot="1">
      <c r="B4" s="465" t="s">
        <v>303</v>
      </c>
      <c r="C4" s="466">
        <f>Y7</f>
        <v>79415.232000000018</v>
      </c>
      <c r="D4" s="467">
        <f>AVERAGE($Z$26:$AG$26)*(SUM(D5:D7))</f>
        <v>0.51737072539444251</v>
      </c>
      <c r="E4" s="382">
        <f t="shared" ref="E4:E9" si="0">C4*D4</f>
        <v>41087.116187207954</v>
      </c>
      <c r="F4" s="468">
        <f t="shared" ref="F4:F9" si="1">D4*40</f>
        <v>20.6948290157777</v>
      </c>
      <c r="G4" s="469"/>
      <c r="X4" s="1099" t="s">
        <v>302</v>
      </c>
      <c r="Y4" s="1100"/>
      <c r="Z4" s="1100"/>
      <c r="AA4" s="1100"/>
      <c r="AB4" s="1100"/>
      <c r="AC4" s="1100"/>
      <c r="AD4" s="1100"/>
      <c r="AE4" s="1100"/>
      <c r="AF4" s="1100"/>
      <c r="AG4" s="1101"/>
    </row>
    <row r="5" spans="2:35" ht="15" customHeight="1" thickBot="1">
      <c r="B5" s="465" t="s">
        <v>460</v>
      </c>
      <c r="C5" s="466">
        <f>Y8</f>
        <v>101383.77600000001</v>
      </c>
      <c r="D5" s="467">
        <v>0.5</v>
      </c>
      <c r="E5" s="382">
        <f t="shared" si="0"/>
        <v>50691.888000000006</v>
      </c>
      <c r="F5" s="468">
        <f t="shared" si="1"/>
        <v>20</v>
      </c>
      <c r="G5" s="469"/>
      <c r="X5" s="1102" t="s">
        <v>304</v>
      </c>
      <c r="Y5" s="1103"/>
      <c r="Z5" s="1106" t="s">
        <v>305</v>
      </c>
      <c r="AA5" s="1107"/>
      <c r="AB5" s="1107"/>
      <c r="AC5" s="1107"/>
      <c r="AD5" s="1107"/>
      <c r="AE5" s="1107"/>
      <c r="AF5" s="1107"/>
      <c r="AG5" s="1108"/>
    </row>
    <row r="6" spans="2:35" ht="15.75" thickBot="1">
      <c r="B6" s="465" t="s">
        <v>461</v>
      </c>
      <c r="C6" s="466">
        <f>Y9</f>
        <v>80606.448000000004</v>
      </c>
      <c r="D6" s="467">
        <v>2</v>
      </c>
      <c r="E6" s="382">
        <f t="shared" si="0"/>
        <v>161212.89600000001</v>
      </c>
      <c r="F6" s="468">
        <f t="shared" si="1"/>
        <v>80</v>
      </c>
      <c r="G6" s="469"/>
      <c r="X6" s="1104"/>
      <c r="Y6" s="1105"/>
      <c r="Z6" s="486" t="s">
        <v>307</v>
      </c>
      <c r="AA6" s="486" t="s">
        <v>308</v>
      </c>
      <c r="AB6" s="486" t="s">
        <v>309</v>
      </c>
      <c r="AC6" s="486" t="s">
        <v>310</v>
      </c>
      <c r="AD6" s="486" t="s">
        <v>311</v>
      </c>
      <c r="AE6" s="486" t="s">
        <v>312</v>
      </c>
      <c r="AF6" s="486" t="s">
        <v>313</v>
      </c>
      <c r="AG6" s="486" t="s">
        <v>314</v>
      </c>
    </row>
    <row r="7" spans="2:35">
      <c r="B7" s="465" t="s">
        <v>360</v>
      </c>
      <c r="C7" s="466">
        <f>Y10</f>
        <v>64330.864000000001</v>
      </c>
      <c r="D7" s="467">
        <v>1</v>
      </c>
      <c r="E7" s="382">
        <f t="shared" si="0"/>
        <v>64330.864000000001</v>
      </c>
      <c r="F7" s="468">
        <f t="shared" si="1"/>
        <v>40</v>
      </c>
      <c r="G7" s="469"/>
      <c r="X7" s="487" t="s">
        <v>303</v>
      </c>
      <c r="Y7" s="488">
        <f>'M2022 BLS SALARY CHART (53_PCT)'!C22</f>
        <v>79415.232000000018</v>
      </c>
      <c r="Z7" s="489">
        <v>0.20793518578803963</v>
      </c>
      <c r="AA7" s="490">
        <v>0.20793518578803963</v>
      </c>
      <c r="AB7" s="490">
        <v>0.45454545454545453</v>
      </c>
      <c r="AC7" s="490">
        <v>0.17141009055627424</v>
      </c>
      <c r="AD7" s="490">
        <v>0.57834862385321095</v>
      </c>
      <c r="AE7" s="490">
        <v>0.69090909090909092</v>
      </c>
      <c r="AF7" s="490">
        <v>0.54186582691334406</v>
      </c>
      <c r="AG7" s="491">
        <v>0.56619472021660655</v>
      </c>
      <c r="AI7" s="852"/>
    </row>
    <row r="8" spans="2:35">
      <c r="B8" s="465" t="str">
        <f>X12</f>
        <v>Clerical Support</v>
      </c>
      <c r="C8" s="466">
        <f>Y12</f>
        <v>41600</v>
      </c>
      <c r="D8" s="467">
        <f>$Y$27*(SUM(D5:D7))</f>
        <v>0.26086401720406494</v>
      </c>
      <c r="E8" s="382">
        <f t="shared" si="0"/>
        <v>10851.943115689101</v>
      </c>
      <c r="F8" s="468">
        <f t="shared" si="1"/>
        <v>10.434560688162598</v>
      </c>
      <c r="G8" s="469"/>
      <c r="X8" s="492" t="s">
        <v>460</v>
      </c>
      <c r="Y8" s="488">
        <f>'M2022 BLS SALARY CHART (53_PCT)'!C28</f>
        <v>101383.77600000001</v>
      </c>
      <c r="Z8" s="493"/>
      <c r="AA8" s="494"/>
      <c r="AB8" s="494"/>
      <c r="AC8" s="494"/>
      <c r="AD8" s="494"/>
      <c r="AE8" s="494"/>
      <c r="AF8" s="494"/>
      <c r="AG8" s="495"/>
      <c r="AI8" s="852"/>
    </row>
    <row r="9" spans="2:35">
      <c r="B9" s="465" t="s">
        <v>521</v>
      </c>
      <c r="C9" s="466">
        <f>Y11</f>
        <v>65676.416000000012</v>
      </c>
      <c r="D9" s="467">
        <f>$Y$28*(SUM(D5:D7))</f>
        <v>0.4375</v>
      </c>
      <c r="E9" s="382">
        <f t="shared" si="0"/>
        <v>28733.432000000004</v>
      </c>
      <c r="F9" s="468">
        <f t="shared" si="1"/>
        <v>17.5</v>
      </c>
      <c r="G9" s="469"/>
      <c r="X9" s="492" t="s">
        <v>319</v>
      </c>
      <c r="Y9" s="488">
        <f>'M2022 BLS SALARY CHART (53_PCT)'!C18</f>
        <v>80606.448000000004</v>
      </c>
      <c r="Z9" s="493"/>
      <c r="AA9" s="494"/>
      <c r="AB9" s="494">
        <v>1.1357541478464965</v>
      </c>
      <c r="AC9" s="494">
        <v>0.32923673997412672</v>
      </c>
      <c r="AD9" s="494">
        <v>2.0403669724770643</v>
      </c>
      <c r="AE9" s="494">
        <v>1.9335664335664335</v>
      </c>
      <c r="AF9" s="494">
        <v>1.8452173424056681</v>
      </c>
      <c r="AG9" s="495">
        <v>1.2765117328519857</v>
      </c>
      <c r="AI9" s="852"/>
    </row>
    <row r="10" spans="2:35">
      <c r="B10" s="497" t="s">
        <v>326</v>
      </c>
      <c r="C10" s="498"/>
      <c r="D10" s="499">
        <f>SUM(D4:D9)</f>
        <v>4.7157347425985074</v>
      </c>
      <c r="E10" s="500">
        <f>SUM(E4:E9)</f>
        <v>356908.13930289709</v>
      </c>
      <c r="F10" s="501"/>
      <c r="G10" s="502"/>
      <c r="X10" s="492" t="s">
        <v>321</v>
      </c>
      <c r="Y10" s="488">
        <f>'M2022 BLS SALARY CHART (53_PCT)'!C14</f>
        <v>64330.864000000001</v>
      </c>
      <c r="Z10" s="493">
        <v>0.45</v>
      </c>
      <c r="AA10" s="494">
        <v>0.7</v>
      </c>
      <c r="AB10" s="494">
        <v>0.15</v>
      </c>
      <c r="AC10" s="494">
        <v>0.7</v>
      </c>
      <c r="AD10" s="494"/>
      <c r="AE10" s="494">
        <v>0.25</v>
      </c>
      <c r="AF10" s="494">
        <v>1.1000000000000001</v>
      </c>
      <c r="AG10" s="495">
        <v>0.9</v>
      </c>
      <c r="AI10" s="852"/>
    </row>
    <row r="11" spans="2:35">
      <c r="B11" s="503"/>
      <c r="C11" s="504"/>
      <c r="D11" s="505"/>
      <c r="E11" s="506"/>
      <c r="F11" s="501"/>
      <c r="G11" s="502"/>
      <c r="X11" s="496" t="s">
        <v>465</v>
      </c>
      <c r="Y11" s="488">
        <f>'M2022 BLS SALARY CHART (53_PCT)'!C16</f>
        <v>65676.416000000012</v>
      </c>
      <c r="Z11" s="493"/>
      <c r="AA11" s="494"/>
      <c r="AB11" s="494"/>
      <c r="AC11" s="494"/>
      <c r="AD11" s="494"/>
      <c r="AE11" s="494"/>
      <c r="AF11" s="494"/>
      <c r="AG11" s="495"/>
      <c r="AI11" s="852"/>
    </row>
    <row r="12" spans="2:35">
      <c r="B12" s="503" t="s">
        <v>328</v>
      </c>
      <c r="C12" s="504"/>
      <c r="D12" s="511"/>
      <c r="E12" s="506"/>
      <c r="F12" s="512"/>
      <c r="G12" s="513"/>
      <c r="X12" s="496" t="s">
        <v>620</v>
      </c>
      <c r="Y12" s="488">
        <f>'M2022 BLS SALARY CHART (53_PCT)'!C36</f>
        <v>41600</v>
      </c>
      <c r="Z12" s="493">
        <v>0.95</v>
      </c>
      <c r="AA12" s="494">
        <v>1.62</v>
      </c>
      <c r="AB12" s="494">
        <v>1.05</v>
      </c>
      <c r="AC12" s="494">
        <v>1.91</v>
      </c>
      <c r="AD12" s="494"/>
      <c r="AE12" s="494">
        <v>1.21</v>
      </c>
      <c r="AF12" s="494">
        <v>3.79</v>
      </c>
      <c r="AG12" s="495">
        <v>2.39</v>
      </c>
    </row>
    <row r="13" spans="2:35" ht="15.75" thickBot="1">
      <c r="B13" s="6" t="s">
        <v>329</v>
      </c>
      <c r="C13" s="515">
        <f>$Y$15</f>
        <v>0.27379999999999999</v>
      </c>
      <c r="D13" s="516"/>
      <c r="E13" s="517">
        <f>C13*E10</f>
        <v>97721.448541133213</v>
      </c>
      <c r="F13" s="518"/>
      <c r="G13" s="519"/>
      <c r="X13" s="507"/>
      <c r="Y13" s="488"/>
      <c r="Z13" s="508">
        <v>0.13543146969089426</v>
      </c>
      <c r="AA13" s="509">
        <v>0.13543146969089426</v>
      </c>
      <c r="AB13" s="509">
        <v>0.25</v>
      </c>
      <c r="AC13" s="509">
        <v>0.16558861578266496</v>
      </c>
      <c r="AD13" s="509">
        <v>0.13064220183486239</v>
      </c>
      <c r="AE13" s="509">
        <v>0.20489510489510487</v>
      </c>
      <c r="AF13" s="509">
        <v>0.33456109767755715</v>
      </c>
      <c r="AG13" s="510">
        <v>0.47354467509025272</v>
      </c>
    </row>
    <row r="14" spans="2:35" ht="15.75" thickBot="1">
      <c r="B14" s="523" t="s">
        <v>331</v>
      </c>
      <c r="C14" s="524"/>
      <c r="D14" s="525"/>
      <c r="E14" s="500">
        <f>E10+E13</f>
        <v>454629.58784403029</v>
      </c>
      <c r="F14" s="512"/>
      <c r="G14" s="513"/>
      <c r="X14" s="1106" t="s">
        <v>325</v>
      </c>
      <c r="Y14" s="1109"/>
      <c r="Z14" s="514" t="s">
        <v>307</v>
      </c>
      <c r="AA14" s="486" t="s">
        <v>308</v>
      </c>
      <c r="AB14" s="486" t="s">
        <v>309</v>
      </c>
      <c r="AC14" s="486" t="s">
        <v>310</v>
      </c>
      <c r="AD14" s="486" t="s">
        <v>311</v>
      </c>
      <c r="AE14" s="486" t="s">
        <v>312</v>
      </c>
      <c r="AF14" s="486" t="s">
        <v>313</v>
      </c>
      <c r="AG14" s="486" t="s">
        <v>314</v>
      </c>
    </row>
    <row r="15" spans="2:35">
      <c r="B15" s="6" t="s">
        <v>209</v>
      </c>
      <c r="C15" s="530"/>
      <c r="D15" s="531">
        <f>$Y$17</f>
        <v>5963.9694954316801</v>
      </c>
      <c r="E15" s="517">
        <f t="shared" ref="E15:E21" si="2">D15*$D$10</f>
        <v>28124.498153404864</v>
      </c>
      <c r="F15" s="532"/>
      <c r="G15" s="533"/>
      <c r="X15" s="5" t="s">
        <v>327</v>
      </c>
      <c r="Y15" s="520">
        <f>'M2022 BLS SALARY CHART (53_PCT)'!C38</f>
        <v>0.27379999999999999</v>
      </c>
      <c r="Z15" s="1041" t="s">
        <v>179</v>
      </c>
      <c r="AA15" s="521"/>
      <c r="AB15" s="521"/>
      <c r="AC15" s="521"/>
      <c r="AD15" s="521"/>
      <c r="AE15" s="521"/>
      <c r="AF15" s="521"/>
      <c r="AG15" s="522"/>
    </row>
    <row r="16" spans="2:35">
      <c r="B16" s="6" t="s">
        <v>214</v>
      </c>
      <c r="C16" s="530"/>
      <c r="D16" s="531">
        <f>$Y$18</f>
        <v>478.85919259527293</v>
      </c>
      <c r="E16" s="517">
        <f t="shared" si="2"/>
        <v>2258.1729313341984</v>
      </c>
      <c r="F16" s="533" t="s">
        <v>467</v>
      </c>
      <c r="G16" s="533"/>
      <c r="X16" s="6" t="s">
        <v>178</v>
      </c>
      <c r="Y16" s="526">
        <f>'M2022 BLS SALARY CHART (53_PCT)'!C41</f>
        <v>0.12</v>
      </c>
      <c r="Z16" s="1041" t="s">
        <v>179</v>
      </c>
      <c r="AA16" s="527"/>
      <c r="AB16" s="527"/>
      <c r="AC16" s="527"/>
      <c r="AD16" s="527"/>
      <c r="AE16" s="527"/>
      <c r="AF16" s="528"/>
      <c r="AG16" s="529"/>
    </row>
    <row r="17" spans="2:33">
      <c r="B17" s="6" t="s">
        <v>215</v>
      </c>
      <c r="C17" s="530"/>
      <c r="D17" s="531">
        <f>$Y$19</f>
        <v>1549.7007880073575</v>
      </c>
      <c r="E17" s="517">
        <f t="shared" si="2"/>
        <v>7307.9778466385796</v>
      </c>
      <c r="F17" s="533">
        <f>(E17+E19)/SUM(D5:D7)</f>
        <v>3024.6576679707546</v>
      </c>
      <c r="G17" s="533"/>
      <c r="X17" s="6" t="s">
        <v>209</v>
      </c>
      <c r="Y17" s="534">
        <v>5963.9694954316801</v>
      </c>
      <c r="Z17" s="527" t="s">
        <v>622</v>
      </c>
      <c r="AA17" s="1"/>
      <c r="AB17" s="1"/>
      <c r="AC17" s="1"/>
      <c r="AD17" s="1"/>
      <c r="AE17" s="1"/>
      <c r="AF17" s="1"/>
      <c r="AG17" s="535"/>
    </row>
    <row r="18" spans="2:33">
      <c r="B18" s="6" t="s">
        <v>216</v>
      </c>
      <c r="C18" s="530"/>
      <c r="D18" s="531">
        <f>$Y$20</f>
        <v>879.07312379465145</v>
      </c>
      <c r="E18" s="517">
        <f t="shared" si="2"/>
        <v>4145.4756711630362</v>
      </c>
      <c r="F18" s="532"/>
      <c r="G18" s="533"/>
      <c r="X18" s="6" t="s">
        <v>214</v>
      </c>
      <c r="Y18" s="534">
        <f>159.619730865091*3</f>
        <v>478.85919259527293</v>
      </c>
      <c r="Z18" s="527" t="s">
        <v>622</v>
      </c>
      <c r="AA18" s="1"/>
      <c r="AB18" s="1"/>
      <c r="AC18" s="1"/>
      <c r="AD18" s="1"/>
      <c r="AE18" s="1"/>
      <c r="AF18" s="1"/>
      <c r="AG18" s="535"/>
    </row>
    <row r="19" spans="2:33">
      <c r="B19" s="6" t="s">
        <v>217</v>
      </c>
      <c r="C19" s="530"/>
      <c r="D19" s="531">
        <f>$Y$21</f>
        <v>695.1883789486875</v>
      </c>
      <c r="E19" s="517">
        <f t="shared" si="2"/>
        <v>3278.3239912590625</v>
      </c>
      <c r="F19" s="532"/>
      <c r="G19" s="533"/>
      <c r="X19" s="6" t="s">
        <v>215</v>
      </c>
      <c r="Y19" s="534">
        <f>1056.87839323969*(1.333)*1.1</f>
        <v>1549.7007880073575</v>
      </c>
      <c r="Z19" s="527" t="s">
        <v>622</v>
      </c>
      <c r="AA19" s="1"/>
      <c r="AB19" s="1"/>
      <c r="AC19" s="1"/>
      <c r="AD19" s="1"/>
      <c r="AE19" s="1"/>
      <c r="AF19" s="1"/>
      <c r="AG19" s="535"/>
    </row>
    <row r="20" spans="2:33">
      <c r="B20" s="6" t="s">
        <v>221</v>
      </c>
      <c r="C20" s="530"/>
      <c r="D20" s="531">
        <f>$Y$22*1.5</f>
        <v>2600.9014554130626</v>
      </c>
      <c r="E20" s="517">
        <f t="shared" si="2"/>
        <v>12265.161355366403</v>
      </c>
      <c r="F20" s="532"/>
      <c r="G20" s="533"/>
      <c r="X20" s="6" t="s">
        <v>216</v>
      </c>
      <c r="Y20" s="534">
        <f>659.469710273557*1.333</f>
        <v>879.07312379465145</v>
      </c>
      <c r="Z20" s="527" t="s">
        <v>622</v>
      </c>
      <c r="AA20" s="1"/>
      <c r="AB20" s="1"/>
      <c r="AC20" s="1"/>
      <c r="AD20" s="1"/>
      <c r="AE20" s="1"/>
      <c r="AF20" s="1"/>
      <c r="AG20" s="535"/>
    </row>
    <row r="21" spans="2:33">
      <c r="B21" s="6" t="s">
        <v>225</v>
      </c>
      <c r="C21" s="530"/>
      <c r="D21" s="531">
        <f>$Y$23</f>
        <v>2021.025365447505</v>
      </c>
      <c r="E21" s="517">
        <f t="shared" si="2"/>
        <v>9530.6195315136447</v>
      </c>
      <c r="F21" s="532"/>
      <c r="G21" s="533"/>
      <c r="X21" s="6" t="s">
        <v>217</v>
      </c>
      <c r="Y21" s="534">
        <f>474.110604206975*1.333*1.1</f>
        <v>695.1883789486875</v>
      </c>
      <c r="Z21" s="527" t="s">
        <v>622</v>
      </c>
      <c r="AA21" s="1"/>
      <c r="AB21" s="1"/>
      <c r="AC21" s="1"/>
      <c r="AD21" s="1"/>
      <c r="AE21" s="1"/>
      <c r="AF21" s="1"/>
      <c r="AG21" s="535"/>
    </row>
    <row r="22" spans="2:33">
      <c r="B22" s="6"/>
      <c r="C22" s="530"/>
      <c r="D22" s="467"/>
      <c r="E22" s="506"/>
      <c r="X22" s="6" t="s">
        <v>221</v>
      </c>
      <c r="Y22" s="534">
        <v>1733.9343036087084</v>
      </c>
      <c r="Z22" s="527" t="s">
        <v>622</v>
      </c>
      <c r="AA22" s="1"/>
      <c r="AB22" s="1"/>
      <c r="AC22" s="1"/>
      <c r="AD22" s="1"/>
      <c r="AE22" s="1"/>
      <c r="AF22" s="1"/>
      <c r="AG22" s="535"/>
    </row>
    <row r="23" spans="2:33">
      <c r="B23" s="6" t="s">
        <v>337</v>
      </c>
      <c r="C23" s="536"/>
      <c r="D23" s="467"/>
      <c r="E23" s="517">
        <f>SUM(E15:E22)</f>
        <v>66910.229480679787</v>
      </c>
      <c r="X23" s="6" t="s">
        <v>225</v>
      </c>
      <c r="Y23" s="534">
        <f>1347.35024363167*1.5</f>
        <v>2021.025365447505</v>
      </c>
      <c r="Z23" s="527" t="s">
        <v>622</v>
      </c>
      <c r="AA23" s="1"/>
      <c r="AB23" s="1"/>
      <c r="AC23" s="1"/>
      <c r="AD23" s="1"/>
      <c r="AE23" s="1"/>
      <c r="AF23" s="1"/>
      <c r="AG23" s="535"/>
    </row>
    <row r="24" spans="2:33">
      <c r="B24" s="523" t="s">
        <v>338</v>
      </c>
      <c r="C24" s="524"/>
      <c r="D24" s="525"/>
      <c r="E24" s="500">
        <f>E14+E23</f>
        <v>521539.81732471008</v>
      </c>
      <c r="X24" s="6"/>
      <c r="Y24" s="534"/>
      <c r="Z24" s="527"/>
      <c r="AA24" s="1"/>
      <c r="AB24" s="1"/>
      <c r="AC24" s="1"/>
      <c r="AD24" s="1"/>
      <c r="AE24" s="1"/>
      <c r="AF24" s="1"/>
      <c r="AG24" s="535"/>
    </row>
    <row r="25" spans="2:33">
      <c r="B25" s="6" t="s">
        <v>341</v>
      </c>
      <c r="C25" s="536">
        <f>$Y$16</f>
        <v>0.12</v>
      </c>
      <c r="D25" s="467"/>
      <c r="E25" s="517">
        <f>C25*E24</f>
        <v>62584.77807896521</v>
      </c>
      <c r="X25" s="6"/>
      <c r="Y25" s="534"/>
      <c r="Z25" s="527"/>
      <c r="AA25" s="1"/>
      <c r="AB25" s="1"/>
      <c r="AC25" s="1"/>
      <c r="AD25" s="1"/>
      <c r="AE25" s="1"/>
      <c r="AF25" s="1"/>
      <c r="AG25" s="535"/>
    </row>
    <row r="26" spans="2:33" ht="15.75" thickBot="1">
      <c r="B26" s="540" t="s">
        <v>342</v>
      </c>
      <c r="C26" s="541"/>
      <c r="D26" s="542"/>
      <c r="E26" s="543">
        <f>E25+E24</f>
        <v>584124.59540367534</v>
      </c>
      <c r="X26" s="6" t="s">
        <v>332</v>
      </c>
      <c r="Y26" s="534"/>
      <c r="Z26" s="537">
        <f t="shared" ref="Z26:AG26" si="3">Z7/SUM(Z9:Z12)</f>
        <v>0.14852513270574261</v>
      </c>
      <c r="AA26" s="537">
        <f t="shared" si="3"/>
        <v>8.9627235253465345E-2</v>
      </c>
      <c r="AB26" s="537">
        <f t="shared" si="3"/>
        <v>0.19460329545578819</v>
      </c>
      <c r="AC26" s="537">
        <f t="shared" si="3"/>
        <v>5.8317891929243887E-2</v>
      </c>
      <c r="AD26" s="537">
        <f t="shared" si="3"/>
        <v>0.28345323741007189</v>
      </c>
      <c r="AE26" s="537">
        <f t="shared" si="3"/>
        <v>0.20359380151665021</v>
      </c>
      <c r="AF26" s="537">
        <f t="shared" si="3"/>
        <v>8.0452611900390686E-2</v>
      </c>
      <c r="AG26" s="682">
        <f t="shared" si="3"/>
        <v>0.12398845187308723</v>
      </c>
    </row>
    <row r="27" spans="2:33" ht="16.5" thickTop="1" thickBot="1">
      <c r="B27" s="503" t="s">
        <v>618</v>
      </c>
      <c r="C27" s="668">
        <f>Y33</f>
        <v>2.6565517099262824E-2</v>
      </c>
      <c r="D27" s="505"/>
      <c r="E27" s="506">
        <f>E26*C27</f>
        <v>15517.571927296316</v>
      </c>
      <c r="X27" s="6" t="s">
        <v>334</v>
      </c>
      <c r="Y27" s="538">
        <f>AVERAGE(Z27:AG27)</f>
        <v>7.4532576344018553E-2</v>
      </c>
      <c r="Z27" s="539">
        <f>Z13/SUM(Z9:Z12)</f>
        <v>9.6736764064924471E-2</v>
      </c>
      <c r="AA27" s="539">
        <f t="shared" ref="AA27:AG27" si="4">AA13/SUM(AA9:AA12)</f>
        <v>5.8375633487454413E-2</v>
      </c>
      <c r="AB27" s="539">
        <f t="shared" si="4"/>
        <v>0.10703181250068351</v>
      </c>
      <c r="AC27" s="539">
        <f t="shared" si="4"/>
        <v>5.6337284278816749E-2</v>
      </c>
      <c r="AD27" s="539">
        <f t="shared" si="4"/>
        <v>6.4028776978417259E-2</v>
      </c>
      <c r="AE27" s="539">
        <f t="shared" si="4"/>
        <v>6.0377514012528846E-2</v>
      </c>
      <c r="AF27" s="539">
        <f t="shared" si="4"/>
        <v>4.9673392953650315E-2</v>
      </c>
      <c r="AG27" s="683">
        <f t="shared" si="4"/>
        <v>0.10369943247567294</v>
      </c>
    </row>
    <row r="28" spans="2:33" ht="15.75" thickBot="1">
      <c r="B28" s="553" t="s">
        <v>621</v>
      </c>
      <c r="C28" s="665"/>
      <c r="D28" s="666"/>
      <c r="E28" s="667">
        <f>E27+E26</f>
        <v>599642.16733097169</v>
      </c>
      <c r="X28" s="6" t="s">
        <v>335</v>
      </c>
      <c r="Y28" s="538">
        <v>0.125</v>
      </c>
      <c r="Z28" s="539"/>
      <c r="AA28" s="544"/>
      <c r="AB28" s="544"/>
      <c r="AC28" s="544"/>
      <c r="AD28" s="544"/>
      <c r="AE28" s="544"/>
      <c r="AF28" s="544"/>
      <c r="AG28" s="684"/>
    </row>
    <row r="29" spans="2:33">
      <c r="B29" s="6" t="s">
        <v>343</v>
      </c>
      <c r="C29" s="1"/>
      <c r="D29" s="545"/>
      <c r="E29" s="535">
        <v>10</v>
      </c>
      <c r="X29" s="6"/>
      <c r="Y29" s="1"/>
      <c r="Z29" s="527"/>
      <c r="AA29" s="1"/>
      <c r="AB29" s="1"/>
      <c r="AC29" s="1"/>
      <c r="AD29" s="1"/>
      <c r="AE29" s="1"/>
      <c r="AF29" s="1"/>
      <c r="AG29" s="535"/>
    </row>
    <row r="30" spans="2:33" ht="15.75" thickBot="1">
      <c r="B30" s="6" t="s">
        <v>344</v>
      </c>
      <c r="C30" s="504"/>
      <c r="D30" s="505"/>
      <c r="E30" s="548">
        <f>E28/E29/365</f>
        <v>164.28552529615664</v>
      </c>
      <c r="X30" s="98" t="s">
        <v>336</v>
      </c>
      <c r="Y30" s="845"/>
      <c r="Z30" s="846">
        <v>0.34150000000000003</v>
      </c>
      <c r="AA30" s="846">
        <v>0.21195</v>
      </c>
      <c r="AB30" s="846">
        <v>0.21310000000000001</v>
      </c>
      <c r="AC30" s="846">
        <v>0.28775000000000001</v>
      </c>
      <c r="AD30" s="846">
        <v>0.20979999999999999</v>
      </c>
      <c r="AE30" s="846">
        <v>0.29899999999999999</v>
      </c>
      <c r="AF30" s="847">
        <v>0.16789999999999999</v>
      </c>
      <c r="AG30" s="848">
        <v>0.31219999999999998</v>
      </c>
    </row>
    <row r="31" spans="2:33" ht="15.75" thickBot="1">
      <c r="B31" s="549"/>
      <c r="C31" s="550"/>
      <c r="D31" s="551"/>
      <c r="E31" s="552">
        <f>E30</f>
        <v>164.28552529615664</v>
      </c>
      <c r="X31" s="98"/>
      <c r="Y31" s="845"/>
      <c r="Z31" s="846"/>
      <c r="AA31" s="849"/>
      <c r="AB31" s="849"/>
      <c r="AC31" s="849"/>
      <c r="AD31" s="849"/>
      <c r="AE31" s="849"/>
      <c r="AF31" s="850"/>
      <c r="AG31" s="851"/>
    </row>
    <row r="32" spans="2:33" ht="15.75" thickBot="1">
      <c r="B32" s="1110"/>
      <c r="C32" s="1111"/>
      <c r="D32" s="1112" t="s">
        <v>346</v>
      </c>
      <c r="E32" s="1113"/>
      <c r="X32" s="98"/>
      <c r="Y32" s="845"/>
      <c r="Z32" s="846"/>
      <c r="AA32" s="849"/>
      <c r="AB32" s="849"/>
      <c r="AC32" s="849"/>
      <c r="AD32" s="849"/>
      <c r="AE32" s="849"/>
      <c r="AF32" s="850"/>
      <c r="AG32" s="851"/>
    </row>
    <row r="33" spans="2:37" ht="16.5" thickBot="1">
      <c r="B33" s="388"/>
      <c r="C33" s="608"/>
      <c r="D33" s="560" t="s">
        <v>347</v>
      </c>
      <c r="E33" s="562">
        <f>E31*365/1760</f>
        <v>34.070577689259757</v>
      </c>
      <c r="X33" s="906" t="s">
        <v>674</v>
      </c>
      <c r="Y33" s="913">
        <f>'2023 FALL CAF'!CR29</f>
        <v>2.6565517099262824E-2</v>
      </c>
      <c r="Z33" s="771" t="s">
        <v>713</v>
      </c>
      <c r="AA33" s="772"/>
      <c r="AB33" s="773"/>
      <c r="AC33" s="554"/>
      <c r="AD33" s="554"/>
      <c r="AE33" s="554"/>
      <c r="AF33" s="554"/>
      <c r="AG33" s="555"/>
    </row>
    <row r="34" spans="2:37" ht="15" customHeight="1" thickBot="1">
      <c r="B34" s="571" t="s">
        <v>479</v>
      </c>
      <c r="C34" s="462"/>
      <c r="D34" s="556" t="s">
        <v>537</v>
      </c>
      <c r="E34" s="557">
        <f>E31</f>
        <v>164.28552529615664</v>
      </c>
    </row>
    <row r="35" spans="2:37">
      <c r="B35" s="607"/>
      <c r="C35" s="608"/>
      <c r="D35" s="558" t="s">
        <v>349</v>
      </c>
      <c r="E35" s="559">
        <f>E31*365/12</f>
        <v>4997.0180610914313</v>
      </c>
    </row>
    <row r="36" spans="2:37">
      <c r="B36" s="607"/>
      <c r="C36" s="608"/>
      <c r="D36" s="560" t="s">
        <v>350</v>
      </c>
      <c r="E36" s="562">
        <f>E31*365/4</f>
        <v>14991.054183274293</v>
      </c>
    </row>
    <row r="37" spans="2:37">
      <c r="B37" s="607"/>
      <c r="C37" s="608"/>
      <c r="D37" s="560" t="s">
        <v>351</v>
      </c>
      <c r="E37" s="562">
        <f>E31*365/2</f>
        <v>29982.108366548586</v>
      </c>
    </row>
    <row r="38" spans="2:37" ht="15.75" thickBot="1">
      <c r="B38" s="459"/>
      <c r="C38" s="460"/>
      <c r="D38" s="563" t="s">
        <v>352</v>
      </c>
      <c r="E38" s="564">
        <f>E31*365</f>
        <v>59964.216733097172</v>
      </c>
    </row>
    <row r="39" spans="2:37">
      <c r="X39" s="1"/>
      <c r="Y39" s="1"/>
      <c r="Z39" s="1"/>
      <c r="AA39" s="1"/>
      <c r="AB39" s="1"/>
      <c r="AC39" s="1"/>
      <c r="AD39" s="1"/>
      <c r="AE39" s="1"/>
      <c r="AF39" s="1"/>
      <c r="AG39" s="1"/>
      <c r="AH39" s="1"/>
      <c r="AI39" s="1"/>
      <c r="AJ39" s="1"/>
      <c r="AK39" s="1"/>
    </row>
    <row r="40" spans="2:37" s="1" customFormat="1">
      <c r="B40"/>
      <c r="C40"/>
      <c r="D40"/>
      <c r="E40"/>
      <c r="F40"/>
      <c r="G40"/>
      <c r="H40"/>
      <c r="I40"/>
      <c r="P40"/>
      <c r="Q40"/>
      <c r="R40"/>
      <c r="S40"/>
      <c r="T40"/>
      <c r="U40"/>
      <c r="V40"/>
      <c r="W40"/>
      <c r="X40"/>
      <c r="Y40"/>
      <c r="Z40"/>
      <c r="AA40"/>
      <c r="AB40"/>
      <c r="AC40"/>
      <c r="AD40"/>
      <c r="AE40"/>
      <c r="AF40"/>
      <c r="AG40"/>
      <c r="AH40"/>
      <c r="AI40"/>
      <c r="AJ40"/>
      <c r="AK40"/>
    </row>
    <row r="41" spans="2:37" ht="14.45" customHeight="1"/>
    <row r="88" ht="14.1" customHeight="1"/>
    <row r="135" ht="14.1" customHeight="1"/>
    <row r="184" ht="14.1" customHeight="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31" ht="14.1" customHeight="1"/>
    <row r="279" ht="14.45" customHeight="1"/>
    <row r="284" ht="15.6" customHeight="1"/>
  </sheetData>
  <mergeCells count="8">
    <mergeCell ref="B1:E1"/>
    <mergeCell ref="B2:E2"/>
    <mergeCell ref="B32:C32"/>
    <mergeCell ref="D32:E32"/>
    <mergeCell ref="X4:AG4"/>
    <mergeCell ref="X5:Y6"/>
    <mergeCell ref="Z5:AG5"/>
    <mergeCell ref="X14:Y14"/>
  </mergeCells>
  <pageMargins left="0.7" right="0.7" top="0.75" bottom="0.75" header="0.3" footer="0.3"/>
  <pageSetup orientation="portrait" r:id="rId1"/>
  <ignoredErrors>
    <ignoredError sqref="E27" formula="1"/>
    <ignoredError sqref="Z26:AG26"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B2585-8E30-4E9E-9F8A-5800387ACEE7}">
  <sheetPr>
    <tabColor rgb="FF92D050"/>
  </sheetPr>
  <dimension ref="A1:AD137"/>
  <sheetViews>
    <sheetView zoomScaleNormal="100" workbookViewId="0">
      <selection activeCell="S32" sqref="S32"/>
    </sheetView>
  </sheetViews>
  <sheetFormatPr defaultColWidth="9.140625" defaultRowHeight="15"/>
  <cols>
    <col min="2" max="2" width="30.85546875" customWidth="1"/>
    <col min="3" max="3" width="15.42578125" customWidth="1"/>
    <col min="4" max="4" width="13.85546875" bestFit="1" customWidth="1"/>
    <col min="5" max="5" width="12.140625" customWidth="1"/>
    <col min="6" max="7" width="12.140625" hidden="1" customWidth="1"/>
    <col min="8" max="8" width="10.42578125" customWidth="1"/>
    <col min="9" max="9" width="30.85546875" hidden="1" customWidth="1"/>
    <col min="10" max="10" width="15.42578125" hidden="1" customWidth="1"/>
    <col min="11" max="11" width="13.85546875" hidden="1" customWidth="1"/>
    <col min="12" max="12" width="12.140625" hidden="1" customWidth="1"/>
    <col min="13" max="13" width="9.5703125" hidden="1" customWidth="1"/>
    <col min="14" max="14" width="12" hidden="1" customWidth="1"/>
    <col min="15" max="15" width="9.140625" bestFit="1" customWidth="1"/>
    <col min="17" max="17" width="37.85546875" bestFit="1" customWidth="1"/>
    <col min="18" max="18" width="9" bestFit="1" customWidth="1"/>
  </cols>
  <sheetData>
    <row r="1" spans="2:26" ht="15.75" thickBot="1">
      <c r="B1" s="604"/>
      <c r="C1" s="604"/>
      <c r="D1" s="604"/>
      <c r="E1" s="604"/>
      <c r="F1" s="476"/>
      <c r="G1" s="476"/>
    </row>
    <row r="2" spans="2:26" ht="16.5" customHeight="1" thickBot="1">
      <c r="B2" s="1115" t="s">
        <v>720</v>
      </c>
      <c r="C2" s="1116"/>
      <c r="D2" s="1116"/>
      <c r="E2" s="1117"/>
      <c r="F2" s="477" t="s">
        <v>298</v>
      </c>
      <c r="G2" s="478"/>
    </row>
    <row r="3" spans="2:26" ht="15" customHeight="1" thickBot="1">
      <c r="B3" s="479"/>
      <c r="C3" s="480" t="s">
        <v>299</v>
      </c>
      <c r="D3" s="481" t="s">
        <v>300</v>
      </c>
      <c r="E3" s="482" t="s">
        <v>301</v>
      </c>
      <c r="F3" s="483"/>
      <c r="G3" s="484"/>
      <c r="Q3" s="1099" t="s">
        <v>302</v>
      </c>
      <c r="R3" s="1100"/>
      <c r="S3" s="1100"/>
      <c r="T3" s="1100"/>
      <c r="U3" s="1100"/>
      <c r="V3" s="1100"/>
      <c r="W3" s="1100"/>
      <c r="X3" s="1100"/>
      <c r="Y3" s="1100"/>
      <c r="Z3" s="1101"/>
    </row>
    <row r="4" spans="2:26" ht="15" customHeight="1" thickBot="1">
      <c r="B4" s="465" t="s">
        <v>303</v>
      </c>
      <c r="C4" s="466">
        <f>R6</f>
        <v>79415.232000000018</v>
      </c>
      <c r="D4" s="467">
        <f>AVERAGE($S$25:$Z$25)*(SUM(D5:D6))</f>
        <v>0.147820207255555</v>
      </c>
      <c r="E4" s="382">
        <f t="shared" ref="E4:E6" si="0">C4*D4</f>
        <v>11739.176053487987</v>
      </c>
      <c r="F4" s="468">
        <f t="shared" ref="F4:F6" si="1">D4*40</f>
        <v>5.9128082902222001</v>
      </c>
      <c r="G4" s="469"/>
      <c r="Q4" s="1102" t="s">
        <v>304</v>
      </c>
      <c r="R4" s="1103"/>
      <c r="S4" s="1106" t="s">
        <v>305</v>
      </c>
      <c r="T4" s="1107"/>
      <c r="U4" s="1107"/>
      <c r="V4" s="1107"/>
      <c r="W4" s="1107"/>
      <c r="X4" s="1107"/>
      <c r="Y4" s="1107"/>
      <c r="Z4" s="1108"/>
    </row>
    <row r="5" spans="2:26" ht="15.75" thickBot="1">
      <c r="B5" s="465" t="s">
        <v>360</v>
      </c>
      <c r="C5" s="466">
        <f>R9</f>
        <v>64330.864000000001</v>
      </c>
      <c r="D5" s="467">
        <v>0.2</v>
      </c>
      <c r="E5" s="382">
        <f t="shared" si="0"/>
        <v>12866.1728</v>
      </c>
      <c r="F5" s="468">
        <f t="shared" si="1"/>
        <v>8</v>
      </c>
      <c r="G5" s="469"/>
      <c r="Q5" s="1104"/>
      <c r="R5" s="1105"/>
      <c r="S5" s="486" t="s">
        <v>307</v>
      </c>
      <c r="T5" s="486" t="s">
        <v>308</v>
      </c>
      <c r="U5" s="486" t="s">
        <v>309</v>
      </c>
      <c r="V5" s="486" t="s">
        <v>310</v>
      </c>
      <c r="W5" s="486" t="s">
        <v>311</v>
      </c>
      <c r="X5" s="486" t="s">
        <v>312</v>
      </c>
      <c r="Y5" s="486" t="s">
        <v>313</v>
      </c>
      <c r="Z5" s="486" t="s">
        <v>314</v>
      </c>
    </row>
    <row r="6" spans="2:26">
      <c r="B6" s="465" t="s">
        <v>458</v>
      </c>
      <c r="C6" s="466">
        <f>R11</f>
        <v>53206.566400000003</v>
      </c>
      <c r="D6" s="467">
        <v>0.8</v>
      </c>
      <c r="E6" s="382">
        <f t="shared" si="0"/>
        <v>42565.253120000008</v>
      </c>
      <c r="F6" s="468">
        <f t="shared" si="1"/>
        <v>32</v>
      </c>
      <c r="G6" s="469"/>
      <c r="Q6" s="487" t="s">
        <v>303</v>
      </c>
      <c r="R6" s="488">
        <f>'M2022 BLS SALARY CHART (53_PCT)'!C22</f>
        <v>79415.232000000018</v>
      </c>
      <c r="S6" s="489">
        <v>0.20793518578803963</v>
      </c>
      <c r="T6" s="490">
        <v>0.20793518578803963</v>
      </c>
      <c r="U6" s="490">
        <v>0.45454545454545453</v>
      </c>
      <c r="V6" s="490">
        <v>0.17141009055627424</v>
      </c>
      <c r="W6" s="490">
        <v>0.57834862385321095</v>
      </c>
      <c r="X6" s="490">
        <v>0.69090909090909092</v>
      </c>
      <c r="Y6" s="490">
        <v>0.54186582691334406</v>
      </c>
      <c r="Z6" s="491">
        <v>0.56619472021660655</v>
      </c>
    </row>
    <row r="7" spans="2:26">
      <c r="B7" s="465" t="s">
        <v>521</v>
      </c>
      <c r="C7" s="466">
        <f>R10</f>
        <v>65676.416000000012</v>
      </c>
      <c r="D7" s="467">
        <f>$R$27*(SUM(D5:D6))</f>
        <v>0.125</v>
      </c>
      <c r="E7" s="382">
        <f>C7*D7</f>
        <v>8209.5520000000015</v>
      </c>
      <c r="F7" s="468" t="e">
        <f>#REF!*40</f>
        <v>#REF!</v>
      </c>
      <c r="G7" s="469"/>
      <c r="Q7" s="492" t="s">
        <v>460</v>
      </c>
      <c r="R7" s="488"/>
      <c r="S7" s="493"/>
      <c r="T7" s="494"/>
      <c r="U7" s="494"/>
      <c r="V7" s="494"/>
      <c r="W7" s="494"/>
      <c r="X7" s="494"/>
      <c r="Y7" s="494"/>
      <c r="Z7" s="495"/>
    </row>
    <row r="8" spans="2:26">
      <c r="B8" s="463" t="str">
        <f>Q12</f>
        <v>Clerical Support</v>
      </c>
      <c r="C8" s="664">
        <f>R12</f>
        <v>41600</v>
      </c>
      <c r="D8" s="613">
        <v>7.0000000000000007E-2</v>
      </c>
      <c r="E8" s="681">
        <f>D8*C8</f>
        <v>2912.0000000000005</v>
      </c>
      <c r="F8" s="468">
        <f>D7*40</f>
        <v>5</v>
      </c>
      <c r="G8" s="469"/>
      <c r="Q8" s="492" t="s">
        <v>319</v>
      </c>
      <c r="R8" s="488"/>
      <c r="S8" s="493"/>
      <c r="T8" s="494"/>
      <c r="U8" s="494">
        <v>1.1357541478464965</v>
      </c>
      <c r="V8" s="494">
        <v>0.32923673997412672</v>
      </c>
      <c r="W8" s="494">
        <v>2.0403669724770643</v>
      </c>
      <c r="X8" s="494">
        <v>1.9335664335664335</v>
      </c>
      <c r="Y8" s="494">
        <v>1.8452173424056681</v>
      </c>
      <c r="Z8" s="495">
        <v>1.2765117328519857</v>
      </c>
    </row>
    <row r="9" spans="2:26">
      <c r="B9" s="497" t="s">
        <v>326</v>
      </c>
      <c r="C9" s="498"/>
      <c r="D9" s="499">
        <f>SUM(D4:D8)</f>
        <v>1.3428202072555551</v>
      </c>
      <c r="E9" s="500">
        <f>SUM(E4:E8)</f>
        <v>78292.153973487992</v>
      </c>
      <c r="F9" s="501"/>
      <c r="G9" s="502"/>
      <c r="Q9" s="492" t="s">
        <v>321</v>
      </c>
      <c r="R9" s="488">
        <f>'M2022 BLS SALARY CHART (53_PCT)'!C14</f>
        <v>64330.864000000001</v>
      </c>
      <c r="S9" s="493">
        <v>0.45</v>
      </c>
      <c r="T9" s="494">
        <v>0.7</v>
      </c>
      <c r="U9" s="494">
        <v>0.15</v>
      </c>
      <c r="V9" s="494">
        <v>0.7</v>
      </c>
      <c r="W9" s="494"/>
      <c r="X9" s="494">
        <v>0.25</v>
      </c>
      <c r="Y9" s="494">
        <v>1.1000000000000001</v>
      </c>
      <c r="Z9" s="495">
        <v>0.9</v>
      </c>
    </row>
    <row r="10" spans="2:26">
      <c r="B10" s="503"/>
      <c r="C10" s="504"/>
      <c r="D10" s="505"/>
      <c r="E10" s="506"/>
      <c r="F10" s="501"/>
      <c r="G10" s="502"/>
      <c r="Q10" s="496" t="s">
        <v>465</v>
      </c>
      <c r="R10" s="488">
        <f>'M2022 BLS SALARY CHART (53_PCT)'!C16</f>
        <v>65676.416000000012</v>
      </c>
      <c r="S10" s="493"/>
      <c r="T10" s="494"/>
      <c r="U10" s="494"/>
      <c r="V10" s="494"/>
      <c r="W10" s="494"/>
      <c r="X10" s="494"/>
      <c r="Y10" s="494"/>
      <c r="Z10" s="495"/>
    </row>
    <row r="11" spans="2:26">
      <c r="B11" s="503" t="s">
        <v>328</v>
      </c>
      <c r="C11" s="504"/>
      <c r="D11" s="511"/>
      <c r="E11" s="506"/>
      <c r="F11" s="512"/>
      <c r="G11" s="513"/>
      <c r="Q11" s="496" t="s">
        <v>578</v>
      </c>
      <c r="R11" s="488">
        <f>'M2022 BLS SALARY CHART (53_PCT)'!C8</f>
        <v>53206.566400000003</v>
      </c>
      <c r="S11" s="493">
        <v>0.95</v>
      </c>
      <c r="T11" s="494">
        <v>1.62</v>
      </c>
      <c r="U11" s="494">
        <v>1.05</v>
      </c>
      <c r="V11" s="494">
        <v>1.91</v>
      </c>
      <c r="W11" s="494"/>
      <c r="X11" s="494">
        <v>1.21</v>
      </c>
      <c r="Y11" s="494">
        <v>3.79</v>
      </c>
      <c r="Z11" s="495">
        <v>2.39</v>
      </c>
    </row>
    <row r="12" spans="2:26" ht="15.75" thickBot="1">
      <c r="B12" s="6" t="s">
        <v>329</v>
      </c>
      <c r="C12" s="515">
        <f>$R$14</f>
        <v>0.27379999999999999</v>
      </c>
      <c r="D12" s="516"/>
      <c r="E12" s="517">
        <f>C12*E9</f>
        <v>21436.391757941012</v>
      </c>
      <c r="F12" s="518"/>
      <c r="G12" s="519"/>
      <c r="Q12" s="507" t="s">
        <v>620</v>
      </c>
      <c r="R12" s="488">
        <f>'M2022 BLS SALARY CHART (53_PCT)'!C36</f>
        <v>41600</v>
      </c>
      <c r="S12" s="508">
        <v>0.13543146969089426</v>
      </c>
      <c r="T12" s="509">
        <v>0.13543146969089426</v>
      </c>
      <c r="U12" s="509">
        <v>0.25</v>
      </c>
      <c r="V12" s="509">
        <v>0.16558861578266496</v>
      </c>
      <c r="W12" s="509">
        <v>0.13064220183486239</v>
      </c>
      <c r="X12" s="509">
        <v>0.20489510489510487</v>
      </c>
      <c r="Y12" s="509">
        <v>0.33456109767755715</v>
      </c>
      <c r="Z12" s="510">
        <v>0.47354467509025272</v>
      </c>
    </row>
    <row r="13" spans="2:26" ht="15.75" thickBot="1">
      <c r="B13" s="523" t="s">
        <v>331</v>
      </c>
      <c r="C13" s="524"/>
      <c r="D13" s="525"/>
      <c r="E13" s="500">
        <f>E9+E12</f>
        <v>99728.545731429011</v>
      </c>
      <c r="F13" s="512"/>
      <c r="G13" s="513"/>
      <c r="Q13" s="1106" t="s">
        <v>325</v>
      </c>
      <c r="R13" s="1109"/>
      <c r="S13" s="514" t="s">
        <v>307</v>
      </c>
      <c r="T13" s="486" t="s">
        <v>308</v>
      </c>
      <c r="U13" s="486" t="s">
        <v>309</v>
      </c>
      <c r="V13" s="486" t="s">
        <v>310</v>
      </c>
      <c r="W13" s="486" t="s">
        <v>311</v>
      </c>
      <c r="X13" s="486" t="s">
        <v>312</v>
      </c>
      <c r="Y13" s="486" t="s">
        <v>313</v>
      </c>
      <c r="Z13" s="486" t="s">
        <v>314</v>
      </c>
    </row>
    <row r="14" spans="2:26">
      <c r="B14" s="6" t="s">
        <v>209</v>
      </c>
      <c r="C14" s="530"/>
      <c r="D14" s="531">
        <f>$R$16</f>
        <v>5963.9694954316801</v>
      </c>
      <c r="E14" s="517">
        <f t="shared" ref="E14:E20" si="2">D14*D$9</f>
        <v>8008.5387539213771</v>
      </c>
      <c r="F14" s="532"/>
      <c r="G14" s="533"/>
      <c r="Q14" s="5" t="s">
        <v>327</v>
      </c>
      <c r="R14" s="520">
        <f>'M2022 BLS SALARY CHART (53_PCT)'!C38</f>
        <v>0.27379999999999999</v>
      </c>
      <c r="S14" s="1041" t="s">
        <v>179</v>
      </c>
      <c r="T14" s="521"/>
      <c r="U14" s="521"/>
      <c r="V14" s="521"/>
      <c r="W14" s="521"/>
      <c r="X14" s="521"/>
      <c r="Y14" s="521"/>
      <c r="Z14" s="522"/>
    </row>
    <row r="15" spans="2:26">
      <c r="B15" s="6" t="s">
        <v>214</v>
      </c>
      <c r="C15" s="530"/>
      <c r="D15" s="531">
        <f>$R$17</f>
        <v>478.85919259527293</v>
      </c>
      <c r="E15" s="517">
        <f t="shared" si="2"/>
        <v>643.02180024701215</v>
      </c>
      <c r="F15" s="533" t="s">
        <v>467</v>
      </c>
      <c r="G15" s="533"/>
      <c r="Q15" s="6" t="s">
        <v>178</v>
      </c>
      <c r="R15" s="526">
        <f>'M2022 BLS SALARY CHART (53_PCT)'!C41</f>
        <v>0.12</v>
      </c>
      <c r="S15" s="1041" t="s">
        <v>179</v>
      </c>
      <c r="T15" s="527"/>
      <c r="U15" s="527"/>
      <c r="V15" s="527"/>
      <c r="W15" s="527"/>
      <c r="X15" s="527"/>
      <c r="Y15" s="528"/>
      <c r="Z15" s="529"/>
    </row>
    <row r="16" spans="2:26">
      <c r="B16" s="6" t="s">
        <v>215</v>
      </c>
      <c r="C16" s="530"/>
      <c r="D16" s="531">
        <f>$R$18</f>
        <v>1549.7007880073575</v>
      </c>
      <c r="E16" s="517">
        <f t="shared" si="2"/>
        <v>2080.9695333361369</v>
      </c>
      <c r="F16" s="533">
        <f>(E16+E18)/SUM(D5:D6)</f>
        <v>3014.4825364376666</v>
      </c>
      <c r="G16" s="533"/>
      <c r="Q16" s="6" t="s">
        <v>209</v>
      </c>
      <c r="R16" s="534">
        <v>5963.9694954316801</v>
      </c>
      <c r="S16" s="527" t="s">
        <v>622</v>
      </c>
      <c r="T16" s="1"/>
      <c r="U16" s="1"/>
      <c r="V16" s="1"/>
      <c r="W16" s="1"/>
      <c r="X16" s="1"/>
      <c r="Y16" s="1"/>
      <c r="Z16" s="535"/>
    </row>
    <row r="17" spans="2:26">
      <c r="B17" s="6" t="s">
        <v>216</v>
      </c>
      <c r="C17" s="530"/>
      <c r="D17" s="531">
        <f>$R$19*3</f>
        <v>2637.2193713839542</v>
      </c>
      <c r="E17" s="517">
        <f t="shared" si="2"/>
        <v>3541.3114628601661</v>
      </c>
      <c r="F17" s="532"/>
      <c r="G17" s="533"/>
      <c r="Q17" s="6" t="s">
        <v>214</v>
      </c>
      <c r="R17" s="534">
        <f>159.619730865091*3</f>
        <v>478.85919259527293</v>
      </c>
      <c r="S17" s="527" t="s">
        <v>622</v>
      </c>
      <c r="T17" s="1"/>
      <c r="U17" s="1"/>
      <c r="V17" s="1"/>
      <c r="W17" s="1"/>
      <c r="X17" s="1"/>
      <c r="Y17" s="1"/>
      <c r="Z17" s="535"/>
    </row>
    <row r="18" spans="2:26">
      <c r="B18" s="6" t="s">
        <v>217</v>
      </c>
      <c r="C18" s="530"/>
      <c r="D18" s="531">
        <f>$R$20</f>
        <v>695.1883789486875</v>
      </c>
      <c r="E18" s="517">
        <f t="shared" si="2"/>
        <v>933.51300310152988</v>
      </c>
      <c r="F18" s="532"/>
      <c r="G18" s="533"/>
      <c r="Q18" s="6" t="s">
        <v>215</v>
      </c>
      <c r="R18" s="534">
        <f>1056.87839323969*(1.333)*1.1</f>
        <v>1549.7007880073575</v>
      </c>
      <c r="S18" s="527" t="s">
        <v>622</v>
      </c>
      <c r="T18" s="1"/>
      <c r="U18" s="1"/>
      <c r="V18" s="1"/>
      <c r="W18" s="1"/>
      <c r="X18" s="1"/>
      <c r="Y18" s="1"/>
      <c r="Z18" s="535"/>
    </row>
    <row r="19" spans="2:26">
      <c r="B19" s="6" t="s">
        <v>221</v>
      </c>
      <c r="C19" s="530"/>
      <c r="D19" s="531">
        <f>$R$21*2</f>
        <v>3467.8686072174169</v>
      </c>
      <c r="E19" s="517">
        <f t="shared" si="2"/>
        <v>4656.7240418787251</v>
      </c>
      <c r="F19" s="532"/>
      <c r="G19" s="533"/>
      <c r="Q19" s="6" t="s">
        <v>216</v>
      </c>
      <c r="R19" s="534">
        <f>659.469710273557*1.333</f>
        <v>879.07312379465145</v>
      </c>
      <c r="S19" s="527" t="s">
        <v>622</v>
      </c>
      <c r="T19" s="1"/>
      <c r="U19" s="1"/>
      <c r="V19" s="1"/>
      <c r="W19" s="1"/>
      <c r="X19" s="1"/>
      <c r="Y19" s="1"/>
      <c r="Z19" s="535"/>
    </row>
    <row r="20" spans="2:26">
      <c r="B20" s="6" t="s">
        <v>225</v>
      </c>
      <c r="C20" s="530"/>
      <c r="D20" s="531">
        <f>$R$22</f>
        <v>2021.025365447505</v>
      </c>
      <c r="E20" s="517">
        <f t="shared" si="2"/>
        <v>2713.8737000989527</v>
      </c>
      <c r="F20" s="532"/>
      <c r="G20" s="533"/>
      <c r="Q20" s="6" t="s">
        <v>217</v>
      </c>
      <c r="R20" s="534">
        <f>474.110604206975*1.333*1.1</f>
        <v>695.1883789486875</v>
      </c>
      <c r="S20" s="527" t="s">
        <v>622</v>
      </c>
      <c r="T20" s="1"/>
      <c r="U20" s="1"/>
      <c r="V20" s="1"/>
      <c r="W20" s="1"/>
      <c r="X20" s="1"/>
      <c r="Y20" s="1"/>
      <c r="Z20" s="535"/>
    </row>
    <row r="21" spans="2:26">
      <c r="B21" s="6"/>
      <c r="C21" s="530"/>
      <c r="D21" s="467"/>
      <c r="E21" s="506"/>
      <c r="Q21" s="6" t="s">
        <v>221</v>
      </c>
      <c r="R21" s="534">
        <v>1733.9343036087084</v>
      </c>
      <c r="S21" s="527" t="s">
        <v>622</v>
      </c>
      <c r="T21" s="1"/>
      <c r="U21" s="1"/>
      <c r="V21" s="1"/>
      <c r="W21" s="1"/>
      <c r="X21" s="1"/>
      <c r="Y21" s="1"/>
      <c r="Z21" s="535"/>
    </row>
    <row r="22" spans="2:26">
      <c r="B22" s="6" t="s">
        <v>337</v>
      </c>
      <c r="C22" s="536"/>
      <c r="D22" s="467"/>
      <c r="E22" s="517">
        <f>SUM(E14:E21)</f>
        <v>22577.952295443898</v>
      </c>
      <c r="Q22" s="6" t="s">
        <v>225</v>
      </c>
      <c r="R22" s="534">
        <f>1347.35024363167*1.5</f>
        <v>2021.025365447505</v>
      </c>
      <c r="S22" s="527" t="s">
        <v>622</v>
      </c>
      <c r="T22" s="1"/>
      <c r="U22" s="1"/>
      <c r="V22" s="1"/>
      <c r="W22" s="1"/>
      <c r="X22" s="1"/>
      <c r="Y22" s="1"/>
      <c r="Z22" s="535"/>
    </row>
    <row r="23" spans="2:26">
      <c r="B23" s="523" t="s">
        <v>338</v>
      </c>
      <c r="C23" s="524"/>
      <c r="D23" s="525"/>
      <c r="E23" s="500">
        <f>E13+E22</f>
        <v>122306.49802687291</v>
      </c>
      <c r="Q23" s="6"/>
      <c r="R23" s="534"/>
      <c r="S23" s="527"/>
      <c r="T23" s="1"/>
      <c r="U23" s="1"/>
      <c r="V23" s="1"/>
      <c r="W23" s="1"/>
      <c r="X23" s="1"/>
      <c r="Y23" s="1"/>
      <c r="Z23" s="535"/>
    </row>
    <row r="24" spans="2:26">
      <c r="B24" s="6" t="s">
        <v>341</v>
      </c>
      <c r="C24" s="536">
        <f>$R$15</f>
        <v>0.12</v>
      </c>
      <c r="D24" s="467"/>
      <c r="E24" s="517">
        <f>C24*E23</f>
        <v>14676.779763224749</v>
      </c>
      <c r="Q24" s="6"/>
      <c r="R24" s="534"/>
      <c r="S24" s="527"/>
      <c r="T24" s="1"/>
      <c r="U24" s="1"/>
      <c r="V24" s="1"/>
      <c r="W24" s="1"/>
      <c r="X24" s="1"/>
      <c r="Y24" s="1"/>
      <c r="Z24" s="535"/>
    </row>
    <row r="25" spans="2:26" ht="15.75" thickBot="1">
      <c r="B25" s="540" t="s">
        <v>342</v>
      </c>
      <c r="C25" s="541"/>
      <c r="D25" s="542"/>
      <c r="E25" s="543">
        <f>E24+E23</f>
        <v>136983.27779009767</v>
      </c>
      <c r="Q25" s="6" t="s">
        <v>332</v>
      </c>
      <c r="R25" s="534"/>
      <c r="S25" s="537">
        <f t="shared" ref="S25:Z25" si="3">S6/SUM(S8:S11)</f>
        <v>0.14852513270574261</v>
      </c>
      <c r="T25" s="537">
        <f t="shared" si="3"/>
        <v>8.9627235253465345E-2</v>
      </c>
      <c r="U25" s="537">
        <f t="shared" si="3"/>
        <v>0.19460329545578819</v>
      </c>
      <c r="V25" s="537">
        <f t="shared" si="3"/>
        <v>5.8317891929243887E-2</v>
      </c>
      <c r="W25" s="537">
        <f t="shared" si="3"/>
        <v>0.28345323741007189</v>
      </c>
      <c r="X25" s="537">
        <f t="shared" si="3"/>
        <v>0.20359380151665021</v>
      </c>
      <c r="Y25" s="537">
        <f t="shared" si="3"/>
        <v>8.0452611900390686E-2</v>
      </c>
      <c r="Z25" s="682">
        <f t="shared" si="3"/>
        <v>0.12398845187308723</v>
      </c>
    </row>
    <row r="26" spans="2:26" ht="16.5" thickTop="1" thickBot="1">
      <c r="B26" s="6" t="s">
        <v>618</v>
      </c>
      <c r="C26" s="536">
        <f>R32</f>
        <v>2.6565517099262824E-2</v>
      </c>
      <c r="D26" s="467"/>
      <c r="E26" s="517">
        <f>C26*E25</f>
        <v>3639.0316084459091</v>
      </c>
      <c r="Q26" s="6" t="s">
        <v>334</v>
      </c>
      <c r="R26" s="538">
        <f>AVERAGE(S26:Z26)</f>
        <v>7.4532576344018553E-2</v>
      </c>
      <c r="S26" s="539">
        <f t="shared" ref="S26:Z26" si="4">S12/SUM(S8:S11)</f>
        <v>9.6736764064924471E-2</v>
      </c>
      <c r="T26" s="539">
        <f t="shared" si="4"/>
        <v>5.8375633487454413E-2</v>
      </c>
      <c r="U26" s="539">
        <f t="shared" si="4"/>
        <v>0.10703181250068351</v>
      </c>
      <c r="V26" s="539">
        <f t="shared" si="4"/>
        <v>5.6337284278816749E-2</v>
      </c>
      <c r="W26" s="539">
        <f t="shared" si="4"/>
        <v>6.4028776978417259E-2</v>
      </c>
      <c r="X26" s="539">
        <f t="shared" si="4"/>
        <v>6.0377514012528846E-2</v>
      </c>
      <c r="Y26" s="539">
        <f t="shared" si="4"/>
        <v>4.9673392953650315E-2</v>
      </c>
      <c r="Z26" s="683">
        <f t="shared" si="4"/>
        <v>0.10369943247567294</v>
      </c>
    </row>
    <row r="27" spans="2:26" ht="15.75" thickBot="1">
      <c r="B27" s="553" t="s">
        <v>621</v>
      </c>
      <c r="C27" s="690"/>
      <c r="D27" s="662"/>
      <c r="E27" s="667">
        <f>E26+E25</f>
        <v>140622.30939854358</v>
      </c>
      <c r="Q27" s="6" t="s">
        <v>335</v>
      </c>
      <c r="R27" s="538">
        <v>0.125</v>
      </c>
      <c r="S27" s="539"/>
      <c r="T27" s="544"/>
      <c r="U27" s="544"/>
      <c r="V27" s="544"/>
      <c r="W27" s="544"/>
      <c r="X27" s="544"/>
      <c r="Y27" s="544"/>
      <c r="Z27" s="684"/>
    </row>
    <row r="28" spans="2:26">
      <c r="B28" s="6" t="s">
        <v>462</v>
      </c>
      <c r="C28" s="1"/>
      <c r="D28" s="545"/>
      <c r="E28" s="669">
        <f>2080*(1-0.154)</f>
        <v>1759.6799999999998</v>
      </c>
      <c r="Q28" s="6"/>
      <c r="R28" s="1"/>
      <c r="S28" s="527"/>
      <c r="T28" s="1"/>
      <c r="U28" s="1"/>
      <c r="V28" s="1"/>
      <c r="W28" s="1"/>
      <c r="X28" s="1"/>
      <c r="Y28" s="1"/>
      <c r="Z28" s="535"/>
    </row>
    <row r="29" spans="2:26" ht="15.75" thickBot="1">
      <c r="B29" s="6" t="s">
        <v>344</v>
      </c>
      <c r="C29" s="504"/>
      <c r="D29" s="505"/>
      <c r="E29" s="548">
        <f>E27/365</f>
        <v>385.26660109190021</v>
      </c>
      <c r="Q29" s="98" t="s">
        <v>336</v>
      </c>
      <c r="R29" s="845"/>
      <c r="S29" s="846">
        <v>0.34150000000000003</v>
      </c>
      <c r="T29" s="846">
        <v>0.21195</v>
      </c>
      <c r="U29" s="846">
        <v>0.21310000000000001</v>
      </c>
      <c r="V29" s="846">
        <v>0.28775000000000001</v>
      </c>
      <c r="W29" s="846">
        <v>0.20979999999999999</v>
      </c>
      <c r="X29" s="846">
        <v>0.29899999999999999</v>
      </c>
      <c r="Y29" s="847">
        <v>0.16789999999999999</v>
      </c>
      <c r="Z29" s="848">
        <v>0.31219999999999998</v>
      </c>
    </row>
    <row r="30" spans="2:26" ht="15.75" thickBot="1">
      <c r="B30" s="549"/>
      <c r="C30" s="550"/>
      <c r="D30" s="551"/>
      <c r="E30" s="552">
        <f>E29</f>
        <v>385.26660109190021</v>
      </c>
      <c r="Q30" s="98"/>
      <c r="R30" s="845"/>
      <c r="S30" s="846"/>
      <c r="T30" s="849"/>
      <c r="U30" s="849"/>
      <c r="V30" s="849"/>
      <c r="W30" s="849"/>
      <c r="X30" s="849"/>
      <c r="Y30" s="850"/>
      <c r="Z30" s="851"/>
    </row>
    <row r="31" spans="2:26" ht="17.25" customHeight="1" thickBot="1">
      <c r="B31" s="423" t="s">
        <v>345</v>
      </c>
      <c r="C31" s="424"/>
      <c r="D31" s="605" t="s">
        <v>346</v>
      </c>
      <c r="E31" s="606"/>
      <c r="Q31" s="98"/>
      <c r="R31" s="845"/>
      <c r="S31" s="846"/>
      <c r="T31" s="849"/>
      <c r="U31" s="849"/>
      <c r="V31" s="849"/>
      <c r="W31" s="849"/>
      <c r="X31" s="849"/>
      <c r="Y31" s="850"/>
      <c r="Z31" s="851"/>
    </row>
    <row r="32" spans="2:26" ht="14.45" customHeight="1" thickBot="1">
      <c r="B32" s="474" t="s">
        <v>584</v>
      </c>
      <c r="C32" s="601"/>
      <c r="D32" s="568" t="s">
        <v>528</v>
      </c>
      <c r="E32" s="561">
        <f>E30*365/1760</f>
        <v>79.899039430990669</v>
      </c>
      <c r="Q32" s="906" t="s">
        <v>674</v>
      </c>
      <c r="R32" s="913">
        <f>'2023 FALL CAF'!CR29</f>
        <v>2.6565517099262824E-2</v>
      </c>
      <c r="S32" s="771" t="s">
        <v>713</v>
      </c>
      <c r="T32" s="772"/>
      <c r="U32" s="773"/>
      <c r="V32" s="554"/>
      <c r="W32" s="554"/>
      <c r="X32" s="554"/>
      <c r="Y32" s="554"/>
      <c r="Z32" s="555"/>
    </row>
    <row r="33" spans="1:30" ht="15" customHeight="1" thickBot="1">
      <c r="B33" s="602"/>
      <c r="C33" s="603"/>
      <c r="D33" s="556" t="s">
        <v>537</v>
      </c>
      <c r="E33" s="557">
        <f>E30</f>
        <v>385.26660109190021</v>
      </c>
    </row>
    <row r="34" spans="1:30">
      <c r="B34" s="843"/>
      <c r="C34" s="844"/>
      <c r="D34" s="685" t="s">
        <v>349</v>
      </c>
      <c r="E34" s="686">
        <f>E30*365/12</f>
        <v>11718.525783211966</v>
      </c>
    </row>
    <row r="35" spans="1:30">
      <c r="A35" s="1"/>
      <c r="B35" s="600"/>
      <c r="C35" s="601"/>
      <c r="D35" s="560" t="s">
        <v>350</v>
      </c>
      <c r="E35" s="562">
        <f>E30*365/4</f>
        <v>35155.577349635896</v>
      </c>
    </row>
    <row r="36" spans="1:30">
      <c r="B36" s="600"/>
      <c r="C36" s="601"/>
      <c r="D36" s="560" t="s">
        <v>351</v>
      </c>
      <c r="E36" s="562">
        <f>E30*365/2</f>
        <v>70311.154699271792</v>
      </c>
    </row>
    <row r="37" spans="1:30" ht="15.75" thickBot="1">
      <c r="B37" s="602"/>
      <c r="C37" s="603"/>
      <c r="D37" s="563" t="s">
        <v>352</v>
      </c>
      <c r="E37" s="564">
        <f>E30*365</f>
        <v>140622.30939854358</v>
      </c>
    </row>
    <row r="38" spans="1:30">
      <c r="O38" s="1"/>
      <c r="Q38" s="1"/>
      <c r="R38" s="1"/>
      <c r="S38" s="1"/>
      <c r="T38" s="1"/>
      <c r="U38" s="1"/>
      <c r="V38" s="1"/>
      <c r="W38" s="1"/>
      <c r="X38" s="1"/>
      <c r="Y38" s="1"/>
      <c r="Z38" s="1"/>
      <c r="AA38" s="1"/>
      <c r="AB38" s="1"/>
      <c r="AC38" s="1"/>
      <c r="AD38" s="1"/>
    </row>
    <row r="39" spans="1:30" s="1" customFormat="1">
      <c r="A39"/>
      <c r="B39"/>
      <c r="C39"/>
      <c r="D39"/>
      <c r="E39"/>
      <c r="F39"/>
      <c r="G39"/>
      <c r="H39"/>
      <c r="I39"/>
      <c r="O39"/>
      <c r="P39"/>
      <c r="Q39"/>
      <c r="R39"/>
      <c r="S39"/>
      <c r="T39"/>
      <c r="U39"/>
      <c r="V39"/>
      <c r="W39"/>
      <c r="X39"/>
      <c r="Y39"/>
      <c r="Z39"/>
      <c r="AA39"/>
      <c r="AB39"/>
      <c r="AC39"/>
      <c r="AD39"/>
    </row>
    <row r="40" spans="1:30" ht="14.45" customHeight="1"/>
    <row r="57" hidden="1"/>
    <row r="58" hidden="1"/>
    <row r="59" hidden="1"/>
    <row r="60" hidden="1"/>
    <row r="61" hidden="1"/>
    <row r="62" hidden="1"/>
    <row r="63" hidden="1"/>
    <row r="64" hidden="1"/>
    <row r="65" hidden="1"/>
    <row r="66" hidden="1"/>
    <row r="67" hidden="1"/>
    <row r="68" hidden="1"/>
    <row r="69" hidden="1"/>
    <row r="70" hidden="1"/>
    <row r="71" hidden="1"/>
    <row r="72" hidden="1"/>
    <row r="84" ht="14.1" customHeight="1"/>
    <row r="132" ht="14.45" customHeight="1"/>
    <row r="137" ht="15.6" customHeight="1"/>
  </sheetData>
  <mergeCells count="5">
    <mergeCell ref="B2:E2"/>
    <mergeCell ref="Q3:Z3"/>
    <mergeCell ref="Q4:R5"/>
    <mergeCell ref="S4:Z4"/>
    <mergeCell ref="Q13:R13"/>
  </mergeCells>
  <pageMargins left="0.7" right="0.7" top="0.75" bottom="0.75" header="0.3" footer="0.3"/>
  <pageSetup orientation="portrait" r:id="rId1"/>
  <ignoredErrors>
    <ignoredError sqref="E25:E26" formula="1"/>
    <ignoredError sqref="S25:Z25"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F64F5-C62D-445C-9AD8-8A7E5A57F5B2}">
  <sheetPr>
    <tabColor rgb="FF92D050"/>
  </sheetPr>
  <dimension ref="B1:Z132"/>
  <sheetViews>
    <sheetView zoomScaleNormal="100" workbookViewId="0">
      <selection activeCell="S32" sqref="S32"/>
    </sheetView>
  </sheetViews>
  <sheetFormatPr defaultColWidth="9.140625" defaultRowHeight="15"/>
  <cols>
    <col min="2" max="2" width="30.85546875" customWidth="1"/>
    <col min="3" max="3" width="15.42578125" customWidth="1"/>
    <col min="4" max="4" width="13.85546875" bestFit="1" customWidth="1"/>
    <col min="5" max="5" width="12.140625" customWidth="1"/>
    <col min="6" max="7" width="12.140625" hidden="1" customWidth="1"/>
    <col min="8" max="8" width="10.42578125" customWidth="1"/>
    <col min="9" max="9" width="30.85546875" hidden="1" customWidth="1"/>
    <col min="10" max="10" width="15.42578125" hidden="1" customWidth="1"/>
    <col min="11" max="11" width="13.85546875" hidden="1" customWidth="1"/>
    <col min="12" max="12" width="12.140625" hidden="1" customWidth="1"/>
    <col min="13" max="13" width="9.5703125" hidden="1" customWidth="1"/>
    <col min="14" max="14" width="12" hidden="1" customWidth="1"/>
    <col min="15" max="15" width="9.140625" bestFit="1" customWidth="1"/>
    <col min="17" max="17" width="37.85546875" bestFit="1" customWidth="1"/>
    <col min="18" max="18" width="10" bestFit="1" customWidth="1"/>
  </cols>
  <sheetData>
    <row r="1" spans="2:26" ht="15.75" thickBot="1">
      <c r="B1" s="604"/>
      <c r="C1" s="604"/>
      <c r="D1" s="604"/>
      <c r="E1" s="604"/>
      <c r="F1" s="476"/>
      <c r="G1" s="476"/>
    </row>
    <row r="2" spans="2:26" ht="30.75" thickBot="1">
      <c r="B2" s="1115" t="s">
        <v>515</v>
      </c>
      <c r="C2" s="1116"/>
      <c r="D2" s="1116"/>
      <c r="E2" s="1117"/>
      <c r="F2" s="477" t="s">
        <v>298</v>
      </c>
      <c r="G2" s="478"/>
    </row>
    <row r="3" spans="2:26" ht="15" customHeight="1" thickBot="1">
      <c r="B3" s="479"/>
      <c r="C3" s="480" t="s">
        <v>299</v>
      </c>
      <c r="D3" s="481" t="s">
        <v>300</v>
      </c>
      <c r="E3" s="482" t="s">
        <v>301</v>
      </c>
      <c r="F3" s="483"/>
      <c r="G3" s="484"/>
      <c r="Q3" s="1136" t="s">
        <v>302</v>
      </c>
      <c r="R3" s="1137"/>
      <c r="S3" s="1137"/>
      <c r="T3" s="1137"/>
      <c r="U3" s="1137"/>
      <c r="V3" s="1137"/>
      <c r="W3" s="1137"/>
      <c r="X3" s="1137"/>
      <c r="Y3" s="1137"/>
      <c r="Z3" s="1138"/>
    </row>
    <row r="4" spans="2:26" ht="15" customHeight="1" thickBot="1">
      <c r="B4" s="465" t="s">
        <v>303</v>
      </c>
      <c r="C4" s="466">
        <f>R6</f>
        <v>79415.232000000018</v>
      </c>
      <c r="D4" s="467">
        <v>0.16</v>
      </c>
      <c r="E4" s="382">
        <f t="shared" ref="E4:E6" si="0">C4*D4</f>
        <v>12706.437120000002</v>
      </c>
      <c r="F4" s="472">
        <f t="shared" ref="F4:F6" si="1">D4*40</f>
        <v>6.4</v>
      </c>
      <c r="G4" s="473"/>
      <c r="Q4" s="1139" t="s">
        <v>304</v>
      </c>
      <c r="R4" s="1140"/>
      <c r="S4" s="1143" t="s">
        <v>305</v>
      </c>
      <c r="T4" s="1144"/>
      <c r="U4" s="1144"/>
      <c r="V4" s="1144"/>
      <c r="W4" s="1144"/>
      <c r="X4" s="1144"/>
      <c r="Y4" s="1144"/>
      <c r="Z4" s="1145"/>
    </row>
    <row r="5" spans="2:26" ht="15.75" thickBot="1">
      <c r="B5" s="465" t="s">
        <v>460</v>
      </c>
      <c r="C5" s="466">
        <f>R7</f>
        <v>101383.77600000001</v>
      </c>
      <c r="D5" s="467">
        <v>0.2</v>
      </c>
      <c r="E5" s="382">
        <f t="shared" si="0"/>
        <v>20276.755200000003</v>
      </c>
      <c r="F5" s="472">
        <f t="shared" si="1"/>
        <v>8</v>
      </c>
      <c r="G5" s="473"/>
      <c r="Q5" s="1141"/>
      <c r="R5" s="1142"/>
      <c r="S5" s="855" t="s">
        <v>307</v>
      </c>
      <c r="T5" s="855" t="s">
        <v>308</v>
      </c>
      <c r="U5" s="855" t="s">
        <v>309</v>
      </c>
      <c r="V5" s="855" t="s">
        <v>310</v>
      </c>
      <c r="W5" s="855" t="s">
        <v>311</v>
      </c>
      <c r="X5" s="855" t="s">
        <v>312</v>
      </c>
      <c r="Y5" s="855" t="s">
        <v>313</v>
      </c>
      <c r="Z5" s="855" t="s">
        <v>314</v>
      </c>
    </row>
    <row r="6" spans="2:26">
      <c r="B6" s="465" t="s">
        <v>461</v>
      </c>
      <c r="C6" s="466">
        <f>R8</f>
        <v>80606.448000000004</v>
      </c>
      <c r="D6" s="467">
        <v>0.9</v>
      </c>
      <c r="E6" s="382">
        <f t="shared" si="0"/>
        <v>72545.803200000009</v>
      </c>
      <c r="F6" s="472">
        <f t="shared" si="1"/>
        <v>36</v>
      </c>
      <c r="G6" s="473"/>
      <c r="Q6" s="487" t="s">
        <v>303</v>
      </c>
      <c r="R6" s="852">
        <f>'M2022 BLS SALARY CHART (53_PCT)'!C22</f>
        <v>79415.232000000018</v>
      </c>
      <c r="S6" s="489">
        <v>0.20793518578803963</v>
      </c>
      <c r="T6" s="490">
        <v>0.20793518578803963</v>
      </c>
      <c r="U6" s="490">
        <v>0.45454545454545453</v>
      </c>
      <c r="V6" s="490">
        <v>0.17141009055627424</v>
      </c>
      <c r="W6" s="490">
        <v>0.57834862385321095</v>
      </c>
      <c r="X6" s="490">
        <v>0.69090909090909092</v>
      </c>
      <c r="Y6" s="490">
        <v>0.54186582691334406</v>
      </c>
      <c r="Z6" s="491">
        <v>0.56619472021660655</v>
      </c>
    </row>
    <row r="7" spans="2:26">
      <c r="B7" s="465" t="str">
        <f>Q12</f>
        <v>Clerical Support</v>
      </c>
      <c r="C7" s="466">
        <f>R12</f>
        <v>41600</v>
      </c>
      <c r="D7" s="467">
        <v>0.08</v>
      </c>
      <c r="E7" s="382">
        <f>C7*D7</f>
        <v>3328</v>
      </c>
      <c r="F7" s="472"/>
      <c r="G7" s="473"/>
      <c r="Q7" s="492" t="s">
        <v>460</v>
      </c>
      <c r="R7" s="852">
        <f>'M2022 BLS SALARY CHART (53_PCT)'!C28</f>
        <v>101383.77600000001</v>
      </c>
      <c r="S7" s="493"/>
      <c r="T7" s="494"/>
      <c r="U7" s="494"/>
      <c r="V7" s="494"/>
      <c r="W7" s="494"/>
      <c r="X7" s="494"/>
      <c r="Y7" s="494"/>
      <c r="Z7" s="495"/>
    </row>
    <row r="8" spans="2:26">
      <c r="B8" s="465" t="s">
        <v>521</v>
      </c>
      <c r="C8" s="466">
        <f>R10</f>
        <v>65676.416000000012</v>
      </c>
      <c r="D8" s="467">
        <v>0.14000000000000001</v>
      </c>
      <c r="E8" s="382">
        <f>C8*D8</f>
        <v>9194.6982400000034</v>
      </c>
      <c r="F8" s="472"/>
      <c r="G8" s="473"/>
      <c r="Q8" s="492" t="s">
        <v>319</v>
      </c>
      <c r="R8" s="852">
        <f>'M2022 BLS SALARY CHART (53_PCT)'!C18</f>
        <v>80606.448000000004</v>
      </c>
      <c r="S8" s="493"/>
      <c r="T8" s="494"/>
      <c r="U8" s="494">
        <v>1.1357541478464965</v>
      </c>
      <c r="V8" s="494">
        <v>0.32923673997412672</v>
      </c>
      <c r="W8" s="494">
        <v>2.0403669724770643</v>
      </c>
      <c r="X8" s="494">
        <v>1.9335664335664335</v>
      </c>
      <c r="Y8" s="494">
        <v>1.8452173424056681</v>
      </c>
      <c r="Z8" s="495">
        <v>1.2765117328519857</v>
      </c>
    </row>
    <row r="9" spans="2:26">
      <c r="B9" s="463"/>
      <c r="C9" s="464"/>
      <c r="D9" s="467"/>
      <c r="E9" s="382"/>
      <c r="F9" s="470"/>
      <c r="G9" s="471"/>
      <c r="Q9" s="492" t="s">
        <v>321</v>
      </c>
      <c r="R9" s="852"/>
      <c r="S9" s="493">
        <v>0.45</v>
      </c>
      <c r="T9" s="494">
        <v>0.7</v>
      </c>
      <c r="U9" s="494">
        <v>0.15</v>
      </c>
      <c r="V9" s="494">
        <v>0.7</v>
      </c>
      <c r="W9" s="494"/>
      <c r="X9" s="494">
        <v>0.25</v>
      </c>
      <c r="Y9" s="494">
        <v>1.1000000000000001</v>
      </c>
      <c r="Z9" s="495">
        <v>0.9</v>
      </c>
    </row>
    <row r="10" spans="2:26">
      <c r="B10" s="497" t="s">
        <v>326</v>
      </c>
      <c r="C10" s="498"/>
      <c r="D10" s="499">
        <f>SUM(D4:D8)</f>
        <v>1.48</v>
      </c>
      <c r="E10" s="500">
        <f>SUM(E4:E8)</f>
        <v>118051.69376000001</v>
      </c>
      <c r="F10" s="501"/>
      <c r="G10" s="502"/>
      <c r="Q10" s="496" t="s">
        <v>465</v>
      </c>
      <c r="R10" s="852">
        <f>'M2022 BLS SALARY CHART (53_PCT)'!C16</f>
        <v>65676.416000000012</v>
      </c>
      <c r="S10" s="493"/>
      <c r="T10" s="494"/>
      <c r="U10" s="494"/>
      <c r="V10" s="494"/>
      <c r="W10" s="494"/>
      <c r="X10" s="494"/>
      <c r="Y10" s="494"/>
      <c r="Z10" s="495"/>
    </row>
    <row r="11" spans="2:26">
      <c r="B11" s="503"/>
      <c r="C11" s="504"/>
      <c r="D11" s="505"/>
      <c r="E11" s="506"/>
      <c r="F11" s="501"/>
      <c r="G11" s="502"/>
      <c r="Q11" s="388"/>
      <c r="R11" s="852"/>
      <c r="S11" s="493">
        <v>0.95</v>
      </c>
      <c r="T11" s="494">
        <v>1.62</v>
      </c>
      <c r="U11" s="494">
        <v>1.05</v>
      </c>
      <c r="V11" s="494">
        <v>1.91</v>
      </c>
      <c r="W11" s="494"/>
      <c r="X11" s="494">
        <v>1.21</v>
      </c>
      <c r="Y11" s="494">
        <v>3.79</v>
      </c>
      <c r="Z11" s="495">
        <v>2.39</v>
      </c>
    </row>
    <row r="12" spans="2:26" ht="15.75" thickBot="1">
      <c r="B12" s="503" t="s">
        <v>328</v>
      </c>
      <c r="C12" s="504"/>
      <c r="D12" s="511"/>
      <c r="E12" s="506"/>
      <c r="F12" s="512"/>
      <c r="G12" s="513"/>
      <c r="Q12" s="507" t="s">
        <v>620</v>
      </c>
      <c r="R12" s="853">
        <f>'M2022 BLS SALARY CHART (53_PCT)'!C36</f>
        <v>41600</v>
      </c>
      <c r="S12" s="508">
        <v>0.13543146969089426</v>
      </c>
      <c r="T12" s="509">
        <v>0.13543146969089426</v>
      </c>
      <c r="U12" s="509">
        <v>0.25</v>
      </c>
      <c r="V12" s="509">
        <v>0.16558861578266496</v>
      </c>
      <c r="W12" s="509">
        <v>0.13064220183486239</v>
      </c>
      <c r="X12" s="509">
        <v>0.20489510489510487</v>
      </c>
      <c r="Y12" s="509">
        <v>0.33456109767755715</v>
      </c>
      <c r="Z12" s="510">
        <v>0.47354467509025272</v>
      </c>
    </row>
    <row r="13" spans="2:26" ht="15.75" thickBot="1">
      <c r="B13" s="6" t="s">
        <v>329</v>
      </c>
      <c r="C13" s="515">
        <f>$R$14</f>
        <v>0.27379999999999999</v>
      </c>
      <c r="D13" s="516"/>
      <c r="E13" s="517">
        <f>C13*E10</f>
        <v>32322.553751488002</v>
      </c>
      <c r="F13" s="518"/>
      <c r="G13" s="519"/>
      <c r="Q13" s="1143" t="s">
        <v>325</v>
      </c>
      <c r="R13" s="1146"/>
      <c r="S13" s="854" t="s">
        <v>307</v>
      </c>
      <c r="T13" s="855" t="s">
        <v>308</v>
      </c>
      <c r="U13" s="855" t="s">
        <v>309</v>
      </c>
      <c r="V13" s="855" t="s">
        <v>310</v>
      </c>
      <c r="W13" s="855" t="s">
        <v>311</v>
      </c>
      <c r="X13" s="855" t="s">
        <v>312</v>
      </c>
      <c r="Y13" s="855" t="s">
        <v>313</v>
      </c>
      <c r="Z13" s="855" t="s">
        <v>314</v>
      </c>
    </row>
    <row r="14" spans="2:26">
      <c r="B14" s="523" t="s">
        <v>331</v>
      </c>
      <c r="C14" s="524"/>
      <c r="D14" s="525"/>
      <c r="E14" s="500">
        <f>E10+E13</f>
        <v>150374.24751148801</v>
      </c>
      <c r="F14" s="512"/>
      <c r="G14" s="513"/>
      <c r="Q14" s="5" t="s">
        <v>327</v>
      </c>
      <c r="R14" s="856">
        <f>'M2022 BLS SALARY CHART (53_PCT)'!C38</f>
        <v>0.27379999999999999</v>
      </c>
      <c r="S14" s="1041" t="s">
        <v>179</v>
      </c>
      <c r="T14" s="521"/>
      <c r="U14" s="521"/>
      <c r="V14" s="521"/>
      <c r="W14" s="521"/>
      <c r="X14" s="521"/>
      <c r="Y14" s="521"/>
      <c r="Z14" s="522"/>
    </row>
    <row r="15" spans="2:26">
      <c r="B15" s="6" t="s">
        <v>209</v>
      </c>
      <c r="C15" s="530"/>
      <c r="D15" s="531">
        <f>$R$16</f>
        <v>5963.9694954316801</v>
      </c>
      <c r="E15" s="517">
        <f t="shared" ref="E15:E21" si="2">D15*D$10</f>
        <v>8826.6748532388865</v>
      </c>
      <c r="F15" s="532"/>
      <c r="G15" s="533"/>
      <c r="Q15" s="6" t="s">
        <v>178</v>
      </c>
      <c r="R15" s="857">
        <f>'M2022 BLS SALARY CHART (53_PCT)'!C41</f>
        <v>0.12</v>
      </c>
      <c r="S15" s="1041" t="s">
        <v>179</v>
      </c>
      <c r="T15" s="527"/>
      <c r="U15" s="527"/>
      <c r="V15" s="527"/>
      <c r="W15" s="527"/>
      <c r="X15" s="527"/>
      <c r="Y15" s="528"/>
      <c r="Z15" s="529"/>
    </row>
    <row r="16" spans="2:26">
      <c r="B16" s="6" t="s">
        <v>214</v>
      </c>
      <c r="C16" s="530"/>
      <c r="D16" s="531">
        <f>$R$17</f>
        <v>478.85919259527293</v>
      </c>
      <c r="E16" s="517">
        <f t="shared" si="2"/>
        <v>708.71160504100396</v>
      </c>
      <c r="F16" s="533" t="s">
        <v>467</v>
      </c>
      <c r="G16" s="533"/>
      <c r="Q16" s="6" t="s">
        <v>209</v>
      </c>
      <c r="R16" s="534">
        <v>5963.9694954316801</v>
      </c>
      <c r="S16" s="527" t="s">
        <v>622</v>
      </c>
      <c r="T16" s="1"/>
      <c r="U16" s="1"/>
      <c r="V16" s="1"/>
      <c r="W16" s="1"/>
      <c r="X16" s="1"/>
      <c r="Y16" s="1"/>
      <c r="Z16" s="535"/>
    </row>
    <row r="17" spans="2:26">
      <c r="B17" s="6" t="s">
        <v>215</v>
      </c>
      <c r="C17" s="530"/>
      <c r="D17" s="531">
        <f>$R$18</f>
        <v>1549.7007880073575</v>
      </c>
      <c r="E17" s="517">
        <f t="shared" si="2"/>
        <v>2293.5571662508892</v>
      </c>
      <c r="F17" s="533">
        <f>(E17+E19)/SUM(D5:D8)</f>
        <v>2516.9969447688982</v>
      </c>
      <c r="G17" s="533"/>
      <c r="Q17" s="6" t="s">
        <v>214</v>
      </c>
      <c r="R17" s="534">
        <f>159.619730865091*3</f>
        <v>478.85919259527293</v>
      </c>
      <c r="S17" s="527" t="s">
        <v>622</v>
      </c>
      <c r="T17" s="1"/>
      <c r="U17" s="1"/>
      <c r="V17" s="1"/>
      <c r="W17" s="1"/>
      <c r="X17" s="1"/>
      <c r="Y17" s="1"/>
      <c r="Z17" s="535"/>
    </row>
    <row r="18" spans="2:26">
      <c r="B18" s="6" t="s">
        <v>216</v>
      </c>
      <c r="C18" s="530"/>
      <c r="D18" s="531">
        <f>$R$19</f>
        <v>879.07312379465145</v>
      </c>
      <c r="E18" s="517">
        <f t="shared" si="2"/>
        <v>1301.0282232160841</v>
      </c>
      <c r="F18" s="532"/>
      <c r="G18" s="533"/>
      <c r="Q18" s="6" t="s">
        <v>215</v>
      </c>
      <c r="R18" s="534">
        <f>1056.87839323969*(1.333)*1.1</f>
        <v>1549.7007880073575</v>
      </c>
      <c r="S18" s="527" t="s">
        <v>622</v>
      </c>
      <c r="T18" s="1"/>
      <c r="U18" s="1"/>
      <c r="V18" s="1"/>
      <c r="W18" s="1"/>
      <c r="X18" s="1"/>
      <c r="Y18" s="1"/>
      <c r="Z18" s="535"/>
    </row>
    <row r="19" spans="2:26">
      <c r="B19" s="6" t="s">
        <v>217</v>
      </c>
      <c r="C19" s="530"/>
      <c r="D19" s="531">
        <f>$R$20</f>
        <v>695.1883789486875</v>
      </c>
      <c r="E19" s="517">
        <f t="shared" si="2"/>
        <v>1028.8788008440574</v>
      </c>
      <c r="F19" s="532"/>
      <c r="G19" s="533"/>
      <c r="Q19" s="6" t="s">
        <v>216</v>
      </c>
      <c r="R19" s="534">
        <f>659.469710273557*1.333</f>
        <v>879.07312379465145</v>
      </c>
      <c r="S19" s="527" t="s">
        <v>622</v>
      </c>
      <c r="T19" s="1"/>
      <c r="U19" s="1"/>
      <c r="V19" s="1"/>
      <c r="W19" s="1"/>
      <c r="X19" s="1"/>
      <c r="Y19" s="1"/>
      <c r="Z19" s="535"/>
    </row>
    <row r="20" spans="2:26">
      <c r="B20" s="6" t="s">
        <v>221</v>
      </c>
      <c r="C20" s="530"/>
      <c r="D20" s="531">
        <f>$R$21</f>
        <v>1733.9343036087084</v>
      </c>
      <c r="E20" s="517">
        <f t="shared" si="2"/>
        <v>2566.2227693408886</v>
      </c>
      <c r="F20" s="532"/>
      <c r="G20" s="533"/>
      <c r="Q20" s="6" t="s">
        <v>217</v>
      </c>
      <c r="R20" s="534">
        <f>474.110604206975*1.333*1.1</f>
        <v>695.1883789486875</v>
      </c>
      <c r="S20" s="527" t="s">
        <v>622</v>
      </c>
      <c r="T20" s="1"/>
      <c r="U20" s="1"/>
      <c r="V20" s="1"/>
      <c r="W20" s="1"/>
      <c r="X20" s="1"/>
      <c r="Y20" s="1"/>
      <c r="Z20" s="535"/>
    </row>
    <row r="21" spans="2:26">
      <c r="B21" s="6" t="s">
        <v>225</v>
      </c>
      <c r="C21" s="530"/>
      <c r="D21" s="531">
        <f>$R$22</f>
        <v>2021.025365447505</v>
      </c>
      <c r="E21" s="517">
        <f t="shared" si="2"/>
        <v>2991.1175408623076</v>
      </c>
      <c r="F21" s="532"/>
      <c r="G21" s="533"/>
      <c r="Q21" s="6" t="s">
        <v>221</v>
      </c>
      <c r="R21" s="534">
        <v>1733.9343036087084</v>
      </c>
      <c r="S21" s="527" t="s">
        <v>622</v>
      </c>
      <c r="T21" s="1"/>
      <c r="U21" s="1"/>
      <c r="V21" s="1"/>
      <c r="W21" s="1"/>
      <c r="X21" s="1"/>
      <c r="Y21" s="1"/>
      <c r="Z21" s="535"/>
    </row>
    <row r="22" spans="2:26">
      <c r="B22" s="6"/>
      <c r="C22" s="530"/>
      <c r="D22" s="467"/>
      <c r="E22" s="506"/>
      <c r="F22" s="512"/>
      <c r="G22" s="513"/>
      <c r="Q22" s="6" t="s">
        <v>225</v>
      </c>
      <c r="R22" s="534">
        <f>1347.35024363167*1.5</f>
        <v>2021.025365447505</v>
      </c>
      <c r="S22" s="527" t="s">
        <v>622</v>
      </c>
      <c r="T22" s="1"/>
      <c r="U22" s="1"/>
      <c r="V22" s="1"/>
      <c r="W22" s="1"/>
      <c r="X22" s="1"/>
      <c r="Y22" s="1"/>
      <c r="Z22" s="535"/>
    </row>
    <row r="23" spans="2:26">
      <c r="B23" s="6" t="s">
        <v>337</v>
      </c>
      <c r="C23" s="536"/>
      <c r="D23" s="467"/>
      <c r="E23" s="517">
        <f>SUM(E15:E22)</f>
        <v>19716.190958794119</v>
      </c>
      <c r="Q23" s="6"/>
      <c r="R23" s="534"/>
      <c r="S23" s="527"/>
      <c r="T23" s="1"/>
      <c r="U23" s="1"/>
      <c r="V23" s="1"/>
      <c r="W23" s="1"/>
      <c r="X23" s="1"/>
      <c r="Y23" s="1"/>
      <c r="Z23" s="535"/>
    </row>
    <row r="24" spans="2:26">
      <c r="B24" s="523" t="s">
        <v>338</v>
      </c>
      <c r="C24" s="524"/>
      <c r="D24" s="525"/>
      <c r="E24" s="500">
        <f>E14+E23</f>
        <v>170090.43847028213</v>
      </c>
      <c r="Q24" s="6"/>
      <c r="R24" s="534"/>
      <c r="S24" s="527"/>
      <c r="T24" s="1"/>
      <c r="U24" s="1"/>
      <c r="V24" s="1"/>
      <c r="W24" s="1"/>
      <c r="X24" s="1"/>
      <c r="Y24" s="1"/>
      <c r="Z24" s="535"/>
    </row>
    <row r="25" spans="2:26">
      <c r="B25" s="6" t="s">
        <v>341</v>
      </c>
      <c r="C25" s="536">
        <f>$R$15</f>
        <v>0.12</v>
      </c>
      <c r="D25" s="467"/>
      <c r="E25" s="517">
        <f>C25*E24</f>
        <v>20410.852616433855</v>
      </c>
      <c r="Q25" s="6" t="s">
        <v>332</v>
      </c>
      <c r="R25" s="534"/>
      <c r="S25" s="537">
        <f t="shared" ref="S25:Z25" si="3">S6/SUM(S8:S11)</f>
        <v>0.14852513270574261</v>
      </c>
      <c r="T25" s="537">
        <f t="shared" si="3"/>
        <v>8.9627235253465345E-2</v>
      </c>
      <c r="U25" s="537">
        <f t="shared" si="3"/>
        <v>0.19460329545578819</v>
      </c>
      <c r="V25" s="537">
        <f t="shared" si="3"/>
        <v>5.8317891929243887E-2</v>
      </c>
      <c r="W25" s="537">
        <f t="shared" si="3"/>
        <v>0.28345323741007189</v>
      </c>
      <c r="X25" s="537">
        <f t="shared" si="3"/>
        <v>0.20359380151665021</v>
      </c>
      <c r="Y25" s="537">
        <f t="shared" si="3"/>
        <v>8.0452611900390686E-2</v>
      </c>
      <c r="Z25" s="682">
        <f t="shared" si="3"/>
        <v>0.12398845187308723</v>
      </c>
    </row>
    <row r="26" spans="2:26" ht="15.75" thickBot="1">
      <c r="B26" s="540" t="s">
        <v>342</v>
      </c>
      <c r="C26" s="541"/>
      <c r="D26" s="542"/>
      <c r="E26" s="543">
        <f>E25+E24</f>
        <v>190501.291086716</v>
      </c>
      <c r="Q26" s="6" t="s">
        <v>334</v>
      </c>
      <c r="R26" s="538">
        <f>AVERAGE(S26:Z26)</f>
        <v>7.4532576344018553E-2</v>
      </c>
      <c r="S26" s="539">
        <f>S12/SUM(S8:S11)</f>
        <v>9.6736764064924471E-2</v>
      </c>
      <c r="T26" s="539">
        <f t="shared" ref="T26:Z26" si="4">T12/SUM(T8:T11)</f>
        <v>5.8375633487454413E-2</v>
      </c>
      <c r="U26" s="539">
        <f t="shared" si="4"/>
        <v>0.10703181250068351</v>
      </c>
      <c r="V26" s="539">
        <f t="shared" si="4"/>
        <v>5.6337284278816749E-2</v>
      </c>
      <c r="W26" s="539">
        <f t="shared" si="4"/>
        <v>6.4028776978417259E-2</v>
      </c>
      <c r="X26" s="539">
        <f t="shared" si="4"/>
        <v>6.0377514012528846E-2</v>
      </c>
      <c r="Y26" s="539">
        <f t="shared" si="4"/>
        <v>4.9673392953650315E-2</v>
      </c>
      <c r="Z26" s="683">
        <f t="shared" si="4"/>
        <v>0.10369943247567294</v>
      </c>
    </row>
    <row r="27" spans="2:26" ht="16.5" thickTop="1" thickBot="1">
      <c r="B27" s="503" t="s">
        <v>618</v>
      </c>
      <c r="C27" s="668">
        <f>R32</f>
        <v>2.6565517099262824E-2</v>
      </c>
      <c r="D27" s="505"/>
      <c r="E27" s="506">
        <f>E26*C27</f>
        <v>5060.7653057957987</v>
      </c>
      <c r="Q27" s="6" t="s">
        <v>335</v>
      </c>
      <c r="R27" s="538">
        <v>0.125</v>
      </c>
      <c r="S27" s="539"/>
      <c r="T27" s="544"/>
      <c r="U27" s="544"/>
      <c r="V27" s="544"/>
      <c r="W27" s="544"/>
      <c r="X27" s="544"/>
      <c r="Y27" s="544"/>
      <c r="Z27" s="684"/>
    </row>
    <row r="28" spans="2:26" ht="15.75" thickBot="1">
      <c r="B28" s="553" t="s">
        <v>621</v>
      </c>
      <c r="C28" s="665"/>
      <c r="D28" s="666"/>
      <c r="E28" s="667">
        <f>E27+E26</f>
        <v>195562.05639251179</v>
      </c>
      <c r="Q28" s="6"/>
      <c r="R28" s="1"/>
      <c r="S28" s="527"/>
      <c r="T28" s="1"/>
      <c r="U28" s="1"/>
      <c r="V28" s="1"/>
      <c r="W28" s="1"/>
      <c r="X28" s="1"/>
      <c r="Y28" s="1"/>
      <c r="Z28" s="535"/>
    </row>
    <row r="29" spans="2:26" ht="15.75" thickBot="1">
      <c r="B29" s="6" t="s">
        <v>343</v>
      </c>
      <c r="C29" s="1"/>
      <c r="D29" s="545"/>
      <c r="E29" s="535"/>
      <c r="Q29" s="98" t="s">
        <v>336</v>
      </c>
      <c r="R29" s="845"/>
      <c r="S29" s="846">
        <v>0.34150000000000003</v>
      </c>
      <c r="T29" s="846">
        <v>0.21195</v>
      </c>
      <c r="U29" s="846">
        <v>0.21310000000000001</v>
      </c>
      <c r="V29" s="846">
        <v>0.28775000000000001</v>
      </c>
      <c r="W29" s="846">
        <v>0.20979999999999999</v>
      </c>
      <c r="X29" s="846">
        <v>0.29899999999999999</v>
      </c>
      <c r="Y29" s="847">
        <v>0.16789999999999999</v>
      </c>
      <c r="Z29" s="848">
        <v>0.31219999999999998</v>
      </c>
    </row>
    <row r="30" spans="2:26" ht="15.75" thickBot="1">
      <c r="B30" s="6" t="s">
        <v>462</v>
      </c>
      <c r="C30" s="1"/>
      <c r="D30" s="545"/>
      <c r="E30" s="669">
        <f>2080*(1-0.154)</f>
        <v>1759.6799999999998</v>
      </c>
      <c r="Q30" s="98"/>
      <c r="R30" s="845"/>
      <c r="S30" s="846"/>
      <c r="T30" s="849"/>
      <c r="U30" s="849"/>
      <c r="V30" s="849"/>
      <c r="W30" s="849"/>
      <c r="X30" s="849"/>
      <c r="Y30" s="850"/>
      <c r="Z30" s="851"/>
    </row>
    <row r="31" spans="2:26" ht="15.75" thickBot="1">
      <c r="B31" s="6" t="s">
        <v>344</v>
      </c>
      <c r="C31" s="504"/>
      <c r="D31" s="505"/>
      <c r="E31" s="548">
        <f>E28/365</f>
        <v>535.78645586989535</v>
      </c>
      <c r="Q31" s="98"/>
      <c r="R31" s="845"/>
      <c r="S31" s="846"/>
      <c r="T31" s="849"/>
      <c r="U31" s="849"/>
      <c r="V31" s="849"/>
      <c r="W31" s="849"/>
      <c r="X31" s="849"/>
      <c r="Y31" s="850"/>
      <c r="Z31" s="851"/>
    </row>
    <row r="32" spans="2:26" ht="16.5" thickBot="1">
      <c r="B32" s="549"/>
      <c r="C32" s="550"/>
      <c r="D32" s="551"/>
      <c r="E32" s="552">
        <f>E31</f>
        <v>535.78645586989535</v>
      </c>
      <c r="Q32" s="906" t="s">
        <v>674</v>
      </c>
      <c r="R32" s="913">
        <f>'2023 FALL CAF'!CR29</f>
        <v>2.6565517099262824E-2</v>
      </c>
      <c r="S32" s="771" t="s">
        <v>713</v>
      </c>
      <c r="T32" s="772"/>
      <c r="U32" s="773"/>
      <c r="V32" s="554"/>
      <c r="W32" s="554"/>
      <c r="X32" s="554"/>
      <c r="Y32" s="554"/>
      <c r="Z32" s="555"/>
    </row>
    <row r="33" spans="2:5">
      <c r="B33" s="423" t="s">
        <v>345</v>
      </c>
      <c r="C33" s="424"/>
      <c r="D33" s="605" t="s">
        <v>346</v>
      </c>
      <c r="E33" s="606"/>
    </row>
    <row r="34" spans="2:5" ht="15.75" thickBot="1">
      <c r="B34" s="459"/>
      <c r="C34" s="460"/>
      <c r="D34" s="556" t="s">
        <v>528</v>
      </c>
      <c r="E34" s="557">
        <f>E32*365/E30</f>
        <v>111.13501113413336</v>
      </c>
    </row>
    <row r="35" spans="2:5" ht="14.45" customHeight="1">
      <c r="B35" s="607"/>
      <c r="C35" s="608"/>
      <c r="D35" s="560" t="s">
        <v>348</v>
      </c>
      <c r="E35" s="562">
        <f>E32</f>
        <v>535.78645586989535</v>
      </c>
    </row>
    <row r="36" spans="2:5">
      <c r="B36" s="607"/>
      <c r="C36" s="608"/>
      <c r="D36" s="560" t="s">
        <v>349</v>
      </c>
      <c r="E36" s="562">
        <f>E32*365/12</f>
        <v>16296.838032709316</v>
      </c>
    </row>
    <row r="37" spans="2:5">
      <c r="B37" s="607"/>
      <c r="C37" s="608"/>
      <c r="D37" s="560" t="s">
        <v>350</v>
      </c>
      <c r="E37" s="562">
        <f>E32*365/4</f>
        <v>48890.514098127947</v>
      </c>
    </row>
    <row r="38" spans="2:5">
      <c r="B38" s="607"/>
      <c r="C38" s="608"/>
      <c r="D38" s="560" t="s">
        <v>351</v>
      </c>
      <c r="E38" s="562">
        <f>E32*365/2</f>
        <v>97781.028196255895</v>
      </c>
    </row>
    <row r="39" spans="2:5" ht="15.75" thickBot="1">
      <c r="B39" s="459"/>
      <c r="C39" s="460"/>
      <c r="D39" s="563" t="s">
        <v>352</v>
      </c>
      <c r="E39" s="564">
        <f>E32*365</f>
        <v>195562.05639251179</v>
      </c>
    </row>
    <row r="52" hidden="1"/>
    <row r="53" hidden="1"/>
    <row r="54" hidden="1"/>
    <row r="55" hidden="1"/>
    <row r="56" hidden="1"/>
    <row r="57" hidden="1"/>
    <row r="58" hidden="1"/>
    <row r="59" hidden="1"/>
    <row r="60" hidden="1"/>
    <row r="61" hidden="1"/>
    <row r="62" hidden="1"/>
    <row r="63" hidden="1"/>
    <row r="64" hidden="1"/>
    <row r="65" hidden="1"/>
    <row r="66" hidden="1"/>
    <row r="67" hidden="1"/>
    <row r="79" ht="14.1" customHeight="1"/>
    <row r="127" ht="14.45" customHeight="1"/>
    <row r="132" ht="15.6" customHeight="1"/>
  </sheetData>
  <mergeCells count="5">
    <mergeCell ref="B2:E2"/>
    <mergeCell ref="Q3:Z3"/>
    <mergeCell ref="Q4:R5"/>
    <mergeCell ref="S4:Z4"/>
    <mergeCell ref="Q13:R13"/>
  </mergeCells>
  <pageMargins left="0.7" right="0.7" top="0.75" bottom="0.75" header="0.3" footer="0.3"/>
  <pageSetup orientation="portrait" r:id="rId1"/>
  <ignoredErrors>
    <ignoredError sqref="C7 E27" formula="1"/>
    <ignoredError sqref="S25:Z25" formulaRang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7C660-9822-4C5C-AA14-309E7C5273C3}">
  <sheetPr>
    <tabColor rgb="FF92D050"/>
  </sheetPr>
  <dimension ref="A1:AM284"/>
  <sheetViews>
    <sheetView zoomScaleNormal="100" workbookViewId="0">
      <selection activeCell="Z31" sqref="Z31"/>
    </sheetView>
  </sheetViews>
  <sheetFormatPr defaultRowHeight="15"/>
  <cols>
    <col min="2" max="2" width="33.5703125" customWidth="1"/>
    <col min="3" max="3" width="15.42578125" customWidth="1"/>
    <col min="4" max="4" width="13.85546875" bestFit="1" customWidth="1"/>
    <col min="5" max="5" width="12.140625" customWidth="1"/>
    <col min="6" max="7" width="12.140625" hidden="1" customWidth="1"/>
    <col min="8" max="8" width="10.85546875" bestFit="1" customWidth="1"/>
    <col min="9" max="9" width="9.5703125" customWidth="1"/>
    <col min="10" max="10" width="15.42578125" hidden="1" customWidth="1"/>
    <col min="11" max="11" width="13.85546875" hidden="1" customWidth="1"/>
    <col min="12" max="14" width="12.140625" hidden="1" customWidth="1"/>
    <col min="15" max="15" width="10.42578125" hidden="1" customWidth="1"/>
    <col min="16" max="16" width="30.85546875" hidden="1" customWidth="1"/>
    <col min="17" max="17" width="15.42578125" hidden="1" customWidth="1"/>
    <col min="18" max="18" width="13.85546875" hidden="1" customWidth="1"/>
    <col min="19" max="19" width="12.140625" hidden="1" customWidth="1"/>
    <col min="20" max="20" width="9.5703125" hidden="1" customWidth="1"/>
    <col min="21" max="21" width="12" hidden="1" customWidth="1"/>
    <col min="22" max="22" width="9.140625" hidden="1" customWidth="1"/>
    <col min="23" max="23" width="0" hidden="1" customWidth="1"/>
    <col min="24" max="24" width="37.85546875" bestFit="1" customWidth="1"/>
    <col min="25" max="25" width="9" bestFit="1" customWidth="1"/>
  </cols>
  <sheetData>
    <row r="1" spans="2:33" ht="15.75" thickBot="1">
      <c r="B1" s="398" t="s">
        <v>579</v>
      </c>
      <c r="C1" s="420"/>
      <c r="D1" s="420"/>
      <c r="E1" s="420"/>
    </row>
    <row r="2" spans="2:33" ht="15.75" thickBot="1">
      <c r="B2" s="1149" t="s">
        <v>553</v>
      </c>
      <c r="C2" s="1150"/>
      <c r="D2" s="1150"/>
      <c r="E2" s="1151"/>
      <c r="F2" s="399" t="s">
        <v>298</v>
      </c>
      <c r="G2" s="400"/>
    </row>
    <row r="3" spans="2:33" ht="15.75" thickBot="1">
      <c r="B3" s="401"/>
      <c r="C3" s="402" t="s">
        <v>299</v>
      </c>
      <c r="D3" s="403" t="s">
        <v>300</v>
      </c>
      <c r="E3" s="404" t="s">
        <v>301</v>
      </c>
      <c r="F3" s="405"/>
      <c r="G3" s="406"/>
    </row>
    <row r="4" spans="2:33" ht="15" customHeight="1" thickBot="1">
      <c r="B4" s="385" t="s">
        <v>303</v>
      </c>
      <c r="C4" s="661">
        <f>Y7</f>
        <v>79415.232000000018</v>
      </c>
      <c r="D4" s="386">
        <f>AVERAGE($Z$25:$AG$25)*(SUM(D5:D7))</f>
        <v>0.18477525906944375</v>
      </c>
      <c r="E4" s="382">
        <f t="shared" ref="E4:E8" si="0">C4*D4</f>
        <v>14673.970066859983</v>
      </c>
      <c r="F4" s="383">
        <f t="shared" ref="F4:F8" si="1">D4*40</f>
        <v>7.3910103627777506</v>
      </c>
      <c r="G4" s="384"/>
      <c r="X4" s="1152" t="s">
        <v>302</v>
      </c>
      <c r="Y4" s="1153"/>
      <c r="Z4" s="1153"/>
      <c r="AA4" s="1153"/>
      <c r="AB4" s="1153"/>
      <c r="AC4" s="1153"/>
      <c r="AD4" s="1153"/>
      <c r="AE4" s="1153"/>
      <c r="AF4" s="1153"/>
      <c r="AG4" s="1154"/>
    </row>
    <row r="5" spans="2:33" ht="15" customHeight="1" thickBot="1">
      <c r="B5" s="385" t="s">
        <v>461</v>
      </c>
      <c r="C5" s="661">
        <f>Y8</f>
        <v>80606.448000000004</v>
      </c>
      <c r="D5" s="386">
        <v>0.25</v>
      </c>
      <c r="E5" s="382">
        <f t="shared" si="0"/>
        <v>20151.612000000001</v>
      </c>
      <c r="F5" s="383">
        <f t="shared" si="1"/>
        <v>10</v>
      </c>
      <c r="G5" s="384"/>
      <c r="X5" s="1155" t="s">
        <v>304</v>
      </c>
      <c r="Y5" s="1156"/>
      <c r="Z5" s="1159" t="s">
        <v>305</v>
      </c>
      <c r="AA5" s="1160"/>
      <c r="AB5" s="1160"/>
      <c r="AC5" s="1160"/>
      <c r="AD5" s="1160"/>
      <c r="AE5" s="1160"/>
      <c r="AF5" s="1160"/>
      <c r="AG5" s="1161"/>
    </row>
    <row r="6" spans="2:33" ht="15.75" thickBot="1">
      <c r="B6" s="385" t="s">
        <v>360</v>
      </c>
      <c r="C6" s="661">
        <f>Y9</f>
        <v>64330.864000000001</v>
      </c>
      <c r="D6" s="386">
        <v>0.6</v>
      </c>
      <c r="E6" s="382">
        <f t="shared" si="0"/>
        <v>38598.518400000001</v>
      </c>
      <c r="F6" s="383">
        <f t="shared" si="1"/>
        <v>24</v>
      </c>
      <c r="G6" s="384"/>
      <c r="X6" s="1157"/>
      <c r="Y6" s="1158"/>
      <c r="Z6" s="861" t="s">
        <v>307</v>
      </c>
      <c r="AA6" s="861" t="s">
        <v>308</v>
      </c>
      <c r="AB6" s="861" t="s">
        <v>309</v>
      </c>
      <c r="AC6" s="861" t="s">
        <v>310</v>
      </c>
      <c r="AD6" s="861" t="s">
        <v>311</v>
      </c>
      <c r="AE6" s="861" t="s">
        <v>312</v>
      </c>
      <c r="AF6" s="861" t="s">
        <v>313</v>
      </c>
      <c r="AG6" s="861" t="s">
        <v>314</v>
      </c>
    </row>
    <row r="7" spans="2:33">
      <c r="B7" s="385" t="s">
        <v>458</v>
      </c>
      <c r="C7" s="661">
        <f>Y11</f>
        <v>53206.566400000003</v>
      </c>
      <c r="D7" s="386">
        <v>0.4</v>
      </c>
      <c r="E7" s="382">
        <f t="shared" si="0"/>
        <v>21282.626560000004</v>
      </c>
      <c r="F7" s="383">
        <f t="shared" si="1"/>
        <v>16</v>
      </c>
      <c r="G7" s="384"/>
      <c r="X7" s="285" t="s">
        <v>303</v>
      </c>
      <c r="Y7" s="286">
        <f>'M2022 BLS SALARY CHART (53_PCT)'!C22</f>
        <v>79415.232000000018</v>
      </c>
      <c r="Z7" s="287">
        <v>0.20793518578803963</v>
      </c>
      <c r="AA7" s="288">
        <v>0.20793518578803963</v>
      </c>
      <c r="AB7" s="288">
        <v>0.45454545454545453</v>
      </c>
      <c r="AC7" s="288">
        <v>0.17141009055627424</v>
      </c>
      <c r="AD7" s="288">
        <v>0.57834862385321095</v>
      </c>
      <c r="AE7" s="288">
        <v>0.69090909090909092</v>
      </c>
      <c r="AF7" s="288">
        <v>0.54186582691334406</v>
      </c>
      <c r="AG7" s="289">
        <v>0.56619472021660655</v>
      </c>
    </row>
    <row r="8" spans="2:33">
      <c r="B8" s="385" t="s">
        <v>465</v>
      </c>
      <c r="C8" s="661">
        <f>Y10</f>
        <v>65676.416000000012</v>
      </c>
      <c r="D8" s="386">
        <f>$Y$27*(SUM(D5:D7))</f>
        <v>0.15625</v>
      </c>
      <c r="E8" s="382">
        <f t="shared" si="0"/>
        <v>10261.940000000002</v>
      </c>
      <c r="F8" s="383">
        <f t="shared" si="1"/>
        <v>6.25</v>
      </c>
      <c r="G8" s="384"/>
      <c r="X8" s="281" t="s">
        <v>319</v>
      </c>
      <c r="Y8" s="286">
        <f>'M2022 BLS SALARY CHART (53_PCT)'!C18</f>
        <v>80606.448000000004</v>
      </c>
      <c r="Z8" s="291"/>
      <c r="AA8" s="292"/>
      <c r="AB8" s="292">
        <v>1.1357541478464965</v>
      </c>
      <c r="AC8" s="292">
        <v>0.32923673997412672</v>
      </c>
      <c r="AD8" s="292">
        <v>2.0403669724770643</v>
      </c>
      <c r="AE8" s="292">
        <v>1.9335664335664335</v>
      </c>
      <c r="AF8" s="292">
        <v>1.8452173424056681</v>
      </c>
      <c r="AG8" s="293">
        <v>1.2765117328519857</v>
      </c>
    </row>
    <row r="9" spans="2:33">
      <c r="B9" s="463" t="str">
        <f>X12</f>
        <v>Clerical Support</v>
      </c>
      <c r="C9" s="664">
        <f>Y12</f>
        <v>41600</v>
      </c>
      <c r="D9" s="386">
        <v>0.09</v>
      </c>
      <c r="E9" s="382">
        <f>D9*C9</f>
        <v>3744</v>
      </c>
      <c r="F9" s="387"/>
      <c r="G9" s="407"/>
      <c r="X9" s="281" t="s">
        <v>321</v>
      </c>
      <c r="Y9" s="286">
        <f>'M2022 BLS SALARY CHART (53_PCT)'!C14</f>
        <v>64330.864000000001</v>
      </c>
      <c r="Z9" s="291">
        <v>0.45</v>
      </c>
      <c r="AA9" s="292">
        <v>0.7</v>
      </c>
      <c r="AB9" s="292">
        <v>0.15</v>
      </c>
      <c r="AC9" s="292">
        <v>0.7</v>
      </c>
      <c r="AD9" s="292"/>
      <c r="AE9" s="292">
        <v>0.25</v>
      </c>
      <c r="AF9" s="292">
        <v>1.1000000000000001</v>
      </c>
      <c r="AG9" s="293">
        <v>0.9</v>
      </c>
    </row>
    <row r="10" spans="2:33">
      <c r="B10" s="116" t="s">
        <v>326</v>
      </c>
      <c r="C10" s="330"/>
      <c r="D10" s="331">
        <f>SUM(D4:D9)</f>
        <v>1.6810252590694439</v>
      </c>
      <c r="E10" s="332">
        <f>SUM(E4:E9)</f>
        <v>108712.66702686</v>
      </c>
      <c r="F10" s="408"/>
      <c r="G10" s="409"/>
      <c r="X10" s="290" t="s">
        <v>465</v>
      </c>
      <c r="Y10" s="286">
        <f>'M2022 BLS SALARY CHART (53_PCT)'!C16</f>
        <v>65676.416000000012</v>
      </c>
      <c r="Z10" s="291"/>
      <c r="AA10" s="292"/>
      <c r="AB10" s="292"/>
      <c r="AC10" s="292"/>
      <c r="AD10" s="292"/>
      <c r="AE10" s="292"/>
      <c r="AF10" s="292"/>
      <c r="AG10" s="293"/>
    </row>
    <row r="11" spans="2:33">
      <c r="B11" s="109"/>
      <c r="C11" s="333"/>
      <c r="D11" s="334"/>
      <c r="E11" s="329"/>
      <c r="F11" s="408"/>
      <c r="G11" s="409"/>
      <c r="X11" s="290" t="s">
        <v>324</v>
      </c>
      <c r="Y11" s="286">
        <f>'M2022 BLS SALARY CHART (53_PCT)'!C8</f>
        <v>53206.566400000003</v>
      </c>
      <c r="Z11" s="291">
        <v>0.95</v>
      </c>
      <c r="AA11" s="292">
        <v>1.62</v>
      </c>
      <c r="AB11" s="292">
        <v>1.05</v>
      </c>
      <c r="AC11" s="292">
        <v>1.91</v>
      </c>
      <c r="AD11" s="292"/>
      <c r="AE11" s="292">
        <v>1.21</v>
      </c>
      <c r="AF11" s="292">
        <v>3.79</v>
      </c>
      <c r="AG11" s="293">
        <v>2.39</v>
      </c>
    </row>
    <row r="12" spans="2:33" ht="15.75" thickBot="1">
      <c r="B12" s="109" t="s">
        <v>328</v>
      </c>
      <c r="C12" s="333"/>
      <c r="D12" s="327"/>
      <c r="E12" s="329"/>
      <c r="F12" s="410"/>
      <c r="G12" s="411"/>
      <c r="X12" s="294" t="s">
        <v>620</v>
      </c>
      <c r="Y12" s="286">
        <f>'M2022 BLS SALARY CHART (53_PCT)'!C36</f>
        <v>41600</v>
      </c>
      <c r="Z12" s="295">
        <v>0.13543146969089426</v>
      </c>
      <c r="AA12" s="296">
        <v>0.13543146969089426</v>
      </c>
      <c r="AB12" s="296">
        <v>0.25</v>
      </c>
      <c r="AC12" s="296">
        <v>0.16558861578266496</v>
      </c>
      <c r="AD12" s="296">
        <v>0.13064220183486239</v>
      </c>
      <c r="AE12" s="296">
        <v>0.20489510489510487</v>
      </c>
      <c r="AF12" s="296">
        <v>0.33456109767755715</v>
      </c>
      <c r="AG12" s="297">
        <v>0.47354467509025272</v>
      </c>
    </row>
    <row r="13" spans="2:33" ht="15.75" thickBot="1">
      <c r="B13" s="110" t="s">
        <v>329</v>
      </c>
      <c r="C13" s="335">
        <f>$Y$14</f>
        <v>0.27379999999999999</v>
      </c>
      <c r="D13" s="336"/>
      <c r="E13" s="283">
        <f>C13*E10</f>
        <v>29765.528231954268</v>
      </c>
      <c r="F13" s="412"/>
      <c r="G13" s="413"/>
      <c r="X13" s="1159" t="s">
        <v>325</v>
      </c>
      <c r="Y13" s="1162"/>
      <c r="Z13" s="862" t="s">
        <v>307</v>
      </c>
      <c r="AA13" s="861" t="s">
        <v>308</v>
      </c>
      <c r="AB13" s="861" t="s">
        <v>309</v>
      </c>
      <c r="AC13" s="861" t="s">
        <v>310</v>
      </c>
      <c r="AD13" s="861" t="s">
        <v>311</v>
      </c>
      <c r="AE13" s="861" t="s">
        <v>312</v>
      </c>
      <c r="AF13" s="861" t="s">
        <v>313</v>
      </c>
      <c r="AG13" s="861" t="s">
        <v>314</v>
      </c>
    </row>
    <row r="14" spans="2:33">
      <c r="B14" s="303" t="s">
        <v>331</v>
      </c>
      <c r="C14" s="304"/>
      <c r="D14" s="305"/>
      <c r="E14" s="332">
        <f>E10+E13</f>
        <v>138478.19525881426</v>
      </c>
      <c r="F14" s="410"/>
      <c r="G14" s="411"/>
      <c r="X14" s="233" t="s">
        <v>327</v>
      </c>
      <c r="Y14" s="299">
        <f>'M2022 BLS SALARY CHART (53_PCT)'!C38</f>
        <v>0.27379999999999999</v>
      </c>
      <c r="Z14" s="1041" t="s">
        <v>179</v>
      </c>
      <c r="AA14" s="204"/>
      <c r="AB14" s="204"/>
      <c r="AC14" s="204"/>
      <c r="AD14" s="204"/>
      <c r="AE14" s="204"/>
      <c r="AF14" s="204"/>
      <c r="AG14" s="300"/>
    </row>
    <row r="15" spans="2:33">
      <c r="B15" s="110" t="s">
        <v>209</v>
      </c>
      <c r="C15" s="306"/>
      <c r="D15" s="307">
        <f>$Y$16</f>
        <v>5963.9694954316801</v>
      </c>
      <c r="E15" s="283">
        <f>D15*$D$10</f>
        <v>10025.583366140301</v>
      </c>
      <c r="F15" s="414"/>
      <c r="G15" s="415"/>
      <c r="X15" s="110" t="s">
        <v>178</v>
      </c>
      <c r="Y15" s="301">
        <f>'M2022 BLS SALARY CHART (53_PCT)'!C41</f>
        <v>0.12</v>
      </c>
      <c r="Z15" s="1041" t="s">
        <v>179</v>
      </c>
      <c r="AA15" s="70"/>
      <c r="AB15" s="70"/>
      <c r="AC15" s="70"/>
      <c r="AD15" s="70"/>
      <c r="AE15" s="70"/>
      <c r="AF15" s="302"/>
      <c r="AG15" s="205"/>
    </row>
    <row r="16" spans="2:33">
      <c r="B16" s="110" t="s">
        <v>214</v>
      </c>
      <c r="C16" s="306"/>
      <c r="D16" s="307">
        <f>$Y$17</f>
        <v>478.85919259527293</v>
      </c>
      <c r="E16" s="283">
        <f>D16*$D$10</f>
        <v>804.97439829025336</v>
      </c>
      <c r="F16" s="415" t="s">
        <v>467</v>
      </c>
      <c r="G16" s="415"/>
      <c r="X16" s="110" t="s">
        <v>209</v>
      </c>
      <c r="Y16" s="113">
        <v>5963.9694954316801</v>
      </c>
      <c r="Z16" s="527" t="s">
        <v>622</v>
      </c>
      <c r="AA16" s="27"/>
      <c r="AB16" s="27"/>
      <c r="AC16" s="27"/>
      <c r="AD16" s="27"/>
      <c r="AE16" s="27"/>
      <c r="AF16" s="27"/>
      <c r="AG16" s="73"/>
    </row>
    <row r="17" spans="1:33">
      <c r="B17" s="110" t="s">
        <v>215</v>
      </c>
      <c r="C17" s="306"/>
      <c r="D17" s="307">
        <f>$Y$18</f>
        <v>1549.7007880073575</v>
      </c>
      <c r="E17" s="283">
        <f>D17*$D$10</f>
        <v>2605.0861686401895</v>
      </c>
      <c r="F17" s="415">
        <f>(E17+E19)/SUM(D5:D7)</f>
        <v>3018.972314771579</v>
      </c>
      <c r="G17" s="415"/>
      <c r="X17" s="110" t="s">
        <v>214</v>
      </c>
      <c r="Y17" s="113">
        <f>159.619730865091*3</f>
        <v>478.85919259527293</v>
      </c>
      <c r="Z17" s="527" t="s">
        <v>622</v>
      </c>
      <c r="AA17" s="27"/>
      <c r="AB17" s="27"/>
      <c r="AC17" s="27"/>
      <c r="AD17" s="27"/>
      <c r="AE17" s="27"/>
      <c r="AF17" s="27"/>
      <c r="AG17" s="73"/>
    </row>
    <row r="18" spans="1:33">
      <c r="B18" s="110" t="s">
        <v>216</v>
      </c>
      <c r="C18" s="306"/>
      <c r="D18" s="307">
        <f>$Y$19/2</f>
        <v>439.53656189732573</v>
      </c>
      <c r="E18" s="283">
        <f>D18*$D$10</f>
        <v>738.8720628339446</v>
      </c>
      <c r="F18" s="414"/>
      <c r="G18" s="415"/>
      <c r="X18" s="110" t="s">
        <v>215</v>
      </c>
      <c r="Y18" s="113">
        <f>1056.87839323969*(1.333)*1.1</f>
        <v>1549.7007880073575</v>
      </c>
      <c r="Z18" s="527" t="s">
        <v>622</v>
      </c>
      <c r="AA18" s="27"/>
      <c r="AB18" s="27"/>
      <c r="AC18" s="27"/>
      <c r="AD18" s="27"/>
      <c r="AE18" s="27"/>
      <c r="AF18" s="27"/>
      <c r="AG18" s="73"/>
    </row>
    <row r="19" spans="1:33">
      <c r="B19" s="110" t="s">
        <v>217</v>
      </c>
      <c r="C19" s="306"/>
      <c r="D19" s="307">
        <f>$Y$20</f>
        <v>695.1883789486875</v>
      </c>
      <c r="E19" s="283">
        <f>D19*$D$10</f>
        <v>1168.6292248242842</v>
      </c>
      <c r="F19" s="414"/>
      <c r="G19" s="415"/>
      <c r="X19" s="110" t="s">
        <v>216</v>
      </c>
      <c r="Y19" s="113">
        <f>659.469710273557*1.333</f>
        <v>879.07312379465145</v>
      </c>
      <c r="Z19" s="527" t="s">
        <v>622</v>
      </c>
      <c r="AA19" s="27"/>
      <c r="AB19" s="27"/>
      <c r="AC19" s="27"/>
      <c r="AD19" s="27"/>
      <c r="AE19" s="27"/>
      <c r="AF19" s="27"/>
      <c r="AG19" s="73"/>
    </row>
    <row r="20" spans="1:33">
      <c r="B20" s="110"/>
      <c r="C20" s="306"/>
      <c r="D20" s="308"/>
      <c r="E20" s="329"/>
      <c r="F20" s="410"/>
      <c r="G20" s="411"/>
      <c r="X20" s="110" t="s">
        <v>217</v>
      </c>
      <c r="Y20" s="113">
        <f>474.110604206975*1.333*1.1</f>
        <v>695.1883789486875</v>
      </c>
      <c r="Z20" s="527" t="s">
        <v>622</v>
      </c>
      <c r="AA20" s="27"/>
      <c r="AB20" s="27"/>
      <c r="AC20" s="27"/>
      <c r="AD20" s="27"/>
      <c r="AE20" s="27"/>
      <c r="AF20" s="27"/>
      <c r="AG20" s="73"/>
    </row>
    <row r="21" spans="1:33">
      <c r="B21" s="110" t="s">
        <v>337</v>
      </c>
      <c r="C21" s="397"/>
      <c r="D21" s="308"/>
      <c r="E21" s="283">
        <f>SUM(E15:E20)</f>
        <v>15343.145220728973</v>
      </c>
      <c r="F21" s="414"/>
      <c r="G21" s="413"/>
      <c r="H21" s="421"/>
      <c r="X21" s="110" t="s">
        <v>221</v>
      </c>
      <c r="Y21" s="113">
        <v>1733.9343036087084</v>
      </c>
      <c r="Z21" s="527" t="s">
        <v>622</v>
      </c>
      <c r="AA21" s="27"/>
      <c r="AB21" s="27"/>
      <c r="AC21" s="27"/>
      <c r="AD21" s="27"/>
      <c r="AE21" s="27"/>
      <c r="AF21" s="27"/>
      <c r="AG21" s="73"/>
    </row>
    <row r="22" spans="1:33">
      <c r="B22" s="303" t="s">
        <v>338</v>
      </c>
      <c r="C22" s="304"/>
      <c r="D22" s="305"/>
      <c r="E22" s="332">
        <f>E14+E21</f>
        <v>153821.34047954323</v>
      </c>
      <c r="F22" s="410"/>
      <c r="G22" s="413"/>
      <c r="H22" s="421"/>
      <c r="X22" s="110" t="s">
        <v>225</v>
      </c>
      <c r="Y22" s="113">
        <f>1347.35024363167*1.5</f>
        <v>2021.025365447505</v>
      </c>
      <c r="Z22" s="527" t="s">
        <v>622</v>
      </c>
      <c r="AA22" s="27"/>
      <c r="AB22" s="27"/>
      <c r="AC22" s="27"/>
      <c r="AD22" s="27"/>
      <c r="AE22" s="27"/>
      <c r="AF22" s="27"/>
      <c r="AG22" s="73"/>
    </row>
    <row r="23" spans="1:33">
      <c r="B23" s="110" t="s">
        <v>341</v>
      </c>
      <c r="C23" s="397">
        <f>$Y$15</f>
        <v>0.12</v>
      </c>
      <c r="D23" s="308"/>
      <c r="E23" s="283">
        <f>C23*E22</f>
        <v>18458.560857545188</v>
      </c>
      <c r="F23" s="414"/>
      <c r="G23" s="413"/>
      <c r="H23" s="421"/>
      <c r="X23" s="110"/>
      <c r="Y23" s="113"/>
      <c r="Z23" s="70"/>
      <c r="AA23" s="27"/>
      <c r="AB23" s="27"/>
      <c r="AC23" s="27"/>
      <c r="AD23" s="27"/>
      <c r="AE23" s="27"/>
      <c r="AF23" s="27"/>
      <c r="AG23" s="73"/>
    </row>
    <row r="24" spans="1:33" ht="15.75" thickBot="1">
      <c r="B24" s="338" t="s">
        <v>342</v>
      </c>
      <c r="C24" s="339"/>
      <c r="D24" s="340"/>
      <c r="E24" s="341">
        <f>E23+E22</f>
        <v>172279.90133708841</v>
      </c>
      <c r="F24" s="412"/>
      <c r="G24" s="413"/>
      <c r="H24" s="421"/>
      <c r="X24" s="110"/>
      <c r="Y24" s="113"/>
      <c r="Z24" s="70"/>
      <c r="AA24" s="27"/>
      <c r="AB24" s="27"/>
      <c r="AC24" s="27"/>
      <c r="AD24" s="27"/>
      <c r="AE24" s="27"/>
      <c r="AF24" s="27"/>
      <c r="AG24" s="73"/>
    </row>
    <row r="25" spans="1:33" ht="16.5" thickTop="1" thickBot="1">
      <c r="B25" s="109" t="s">
        <v>618</v>
      </c>
      <c r="C25" s="691">
        <f>Y31</f>
        <v>2.6565517099262824E-2</v>
      </c>
      <c r="D25" s="334"/>
      <c r="E25" s="329">
        <f>E24*C25</f>
        <v>4576.7046648297346</v>
      </c>
      <c r="F25" s="412"/>
      <c r="G25" s="413"/>
      <c r="H25" s="421"/>
      <c r="X25" s="110" t="s">
        <v>332</v>
      </c>
      <c r="Y25" s="113"/>
      <c r="Z25" s="375">
        <f t="shared" ref="Z25:AG25" si="2">Z7/SUM(Z8:Z11)</f>
        <v>0.14852513270574261</v>
      </c>
      <c r="AA25" s="375">
        <f t="shared" si="2"/>
        <v>8.9627235253465345E-2</v>
      </c>
      <c r="AB25" s="375">
        <f t="shared" si="2"/>
        <v>0.19460329545578819</v>
      </c>
      <c r="AC25" s="375">
        <f t="shared" si="2"/>
        <v>5.8317891929243887E-2</v>
      </c>
      <c r="AD25" s="375">
        <f t="shared" si="2"/>
        <v>0.28345323741007189</v>
      </c>
      <c r="AE25" s="375">
        <f t="shared" si="2"/>
        <v>0.20359380151665021</v>
      </c>
      <c r="AF25" s="375">
        <f t="shared" si="2"/>
        <v>8.0452611900390686E-2</v>
      </c>
      <c r="AG25" s="858">
        <f t="shared" si="2"/>
        <v>0.12398845187308723</v>
      </c>
    </row>
    <row r="26" spans="1:33" ht="15.75" thickBot="1">
      <c r="B26" s="692" t="s">
        <v>621</v>
      </c>
      <c r="C26" s="693"/>
      <c r="D26" s="694"/>
      <c r="E26" s="695">
        <f>E25+E24</f>
        <v>176856.60600191815</v>
      </c>
      <c r="F26" s="412"/>
      <c r="G26" s="413"/>
      <c r="H26" s="421"/>
      <c r="X26" s="110" t="s">
        <v>334</v>
      </c>
      <c r="Y26" s="319">
        <f>AVERAGE(Z26:AG26)</f>
        <v>7.4532576344018553E-2</v>
      </c>
      <c r="Z26" s="376">
        <f>Z12/SUM(Z8:Z11)</f>
        <v>9.6736764064924471E-2</v>
      </c>
      <c r="AA26" s="376">
        <f t="shared" ref="AA26:AG26" si="3">AA12/SUM(AA8:AA11)</f>
        <v>5.8375633487454413E-2</v>
      </c>
      <c r="AB26" s="376">
        <f t="shared" si="3"/>
        <v>0.10703181250068351</v>
      </c>
      <c r="AC26" s="376">
        <f t="shared" si="3"/>
        <v>5.6337284278816749E-2</v>
      </c>
      <c r="AD26" s="376">
        <f t="shared" si="3"/>
        <v>6.4028776978417259E-2</v>
      </c>
      <c r="AE26" s="376">
        <f t="shared" si="3"/>
        <v>6.0377514012528846E-2</v>
      </c>
      <c r="AF26" s="376">
        <f t="shared" si="3"/>
        <v>4.9673392953650315E-2</v>
      </c>
      <c r="AG26" s="859">
        <f t="shared" si="3"/>
        <v>0.10369943247567294</v>
      </c>
    </row>
    <row r="27" spans="1:33">
      <c r="B27" s="110"/>
      <c r="C27" s="27"/>
      <c r="D27" s="316"/>
      <c r="E27" s="73"/>
      <c r="F27" s="412" t="s">
        <v>551</v>
      </c>
      <c r="G27" s="413"/>
      <c r="H27" s="421"/>
      <c r="X27" s="110" t="s">
        <v>335</v>
      </c>
      <c r="Y27" s="319">
        <v>0.125</v>
      </c>
      <c r="Z27" s="376"/>
      <c r="AA27" s="213"/>
      <c r="AB27" s="213"/>
      <c r="AC27" s="213"/>
      <c r="AD27" s="213"/>
      <c r="AE27" s="213"/>
      <c r="AF27" s="213"/>
      <c r="AG27" s="860"/>
    </row>
    <row r="28" spans="1:33">
      <c r="B28" s="110" t="s">
        <v>462</v>
      </c>
      <c r="C28" s="27"/>
      <c r="D28" s="316"/>
      <c r="E28" s="920">
        <f>2080*(1-0.154)</f>
        <v>1759.6799999999998</v>
      </c>
      <c r="F28" s="412"/>
      <c r="G28" s="413"/>
      <c r="H28" s="421"/>
      <c r="X28" s="110"/>
      <c r="Y28" s="27"/>
      <c r="Z28" s="70"/>
      <c r="AA28" s="27"/>
      <c r="AB28" s="27"/>
      <c r="AC28" s="27"/>
      <c r="AD28" s="27"/>
      <c r="AE28" s="27"/>
      <c r="AF28" s="27"/>
      <c r="AG28" s="73"/>
    </row>
    <row r="29" spans="1:33" ht="15.75" thickBot="1">
      <c r="B29" s="110" t="s">
        <v>344</v>
      </c>
      <c r="C29" s="333"/>
      <c r="D29" s="334"/>
      <c r="E29" s="342">
        <f>E26/365</f>
        <v>484.53864658059769</v>
      </c>
      <c r="F29" s="412"/>
      <c r="G29" s="413"/>
      <c r="H29" s="421"/>
      <c r="X29" s="163" t="s">
        <v>336</v>
      </c>
      <c r="Y29" s="863"/>
      <c r="Z29" s="864">
        <v>0.34150000000000003</v>
      </c>
      <c r="AA29" s="864">
        <v>0.21195</v>
      </c>
      <c r="AB29" s="864">
        <v>0.21310000000000001</v>
      </c>
      <c r="AC29" s="864">
        <v>0.28775000000000001</v>
      </c>
      <c r="AD29" s="864">
        <v>0.20979999999999999</v>
      </c>
      <c r="AE29" s="864">
        <v>0.29899999999999999</v>
      </c>
      <c r="AF29" s="865">
        <v>0.16789999999999999</v>
      </c>
      <c r="AG29" s="866">
        <v>0.31219999999999998</v>
      </c>
    </row>
    <row r="30" spans="1:33" ht="16.5" customHeight="1" thickBot="1">
      <c r="B30" s="343"/>
      <c r="C30" s="416"/>
      <c r="D30" s="345"/>
      <c r="E30" s="417">
        <f>E29</f>
        <v>484.53864658059769</v>
      </c>
      <c r="F30" s="412"/>
      <c r="G30" s="413"/>
      <c r="H30" s="421"/>
      <c r="X30" s="163"/>
      <c r="Y30" s="863"/>
      <c r="Z30" s="864"/>
      <c r="AA30" s="867"/>
      <c r="AB30" s="867"/>
      <c r="AC30" s="867"/>
      <c r="AD30" s="867"/>
      <c r="AE30" s="867"/>
      <c r="AF30" s="868"/>
      <c r="AG30" s="869"/>
    </row>
    <row r="31" spans="1:33" ht="15.75" customHeight="1" thickBot="1">
      <c r="A31" s="1"/>
      <c r="B31" s="1110" t="s">
        <v>345</v>
      </c>
      <c r="C31" s="1111"/>
      <c r="D31" s="1147" t="s">
        <v>346</v>
      </c>
      <c r="E31" s="1148"/>
      <c r="X31" s="906" t="s">
        <v>674</v>
      </c>
      <c r="Y31" s="913">
        <f>'2023 FALL CAF'!CR29</f>
        <v>2.6565517099262824E-2</v>
      </c>
      <c r="Z31" s="771" t="s">
        <v>713</v>
      </c>
      <c r="AA31" s="772"/>
      <c r="AB31" s="773"/>
      <c r="AC31" s="125"/>
      <c r="AD31" s="125"/>
      <c r="AE31" s="125"/>
      <c r="AF31" s="125"/>
      <c r="AG31" s="126"/>
    </row>
    <row r="32" spans="1:33" ht="19.5" customHeight="1">
      <c r="B32" s="474" t="s">
        <v>585</v>
      </c>
      <c r="C32" s="610"/>
      <c r="D32" s="870" t="s">
        <v>528</v>
      </c>
      <c r="E32" s="923">
        <f>E29*365/E28</f>
        <v>100.50498158865143</v>
      </c>
      <c r="H32" s="565"/>
    </row>
    <row r="33" spans="1:39" ht="15.75" thickBot="1">
      <c r="B33" s="459"/>
      <c r="C33" s="420"/>
      <c r="D33" s="871" t="s">
        <v>537</v>
      </c>
      <c r="E33" s="922">
        <f>E29</f>
        <v>484.53864658059769</v>
      </c>
      <c r="I33" s="1"/>
      <c r="J33" s="1"/>
      <c r="K33" s="1"/>
      <c r="L33" s="1"/>
      <c r="M33" s="1"/>
      <c r="N33" s="1"/>
      <c r="O33" s="1"/>
    </row>
    <row r="34" spans="1:39">
      <c r="B34" s="607"/>
      <c r="C34" s="608"/>
      <c r="D34" s="609" t="s">
        <v>349</v>
      </c>
      <c r="E34" s="458">
        <f>E30*365/12</f>
        <v>14738.050500159845</v>
      </c>
      <c r="L34" s="422"/>
    </row>
    <row r="35" spans="1:39">
      <c r="B35" s="607"/>
      <c r="C35" s="608"/>
      <c r="D35" s="418" t="s">
        <v>350</v>
      </c>
      <c r="E35" s="377">
        <f>E30*365/4</f>
        <v>44214.151500479536</v>
      </c>
    </row>
    <row r="36" spans="1:39">
      <c r="B36" s="607"/>
      <c r="C36" s="608"/>
      <c r="D36" s="418" t="s">
        <v>351</v>
      </c>
      <c r="E36" s="377">
        <f>E30*365/2</f>
        <v>88428.303000959073</v>
      </c>
      <c r="F36" s="412"/>
      <c r="G36" s="413"/>
    </row>
    <row r="37" spans="1:39" ht="15.75" thickBot="1">
      <c r="B37" s="459"/>
      <c r="C37" s="460"/>
      <c r="D37" s="419" t="s">
        <v>352</v>
      </c>
      <c r="E37" s="378">
        <f>E30*365</f>
        <v>176856.60600191815</v>
      </c>
      <c r="F37" s="412"/>
      <c r="G37" s="413"/>
    </row>
    <row r="38" spans="1:39">
      <c r="S38" s="422"/>
      <c r="X38" s="1"/>
      <c r="Y38" s="1"/>
      <c r="Z38" s="1"/>
      <c r="AA38" s="1"/>
      <c r="AB38" s="1"/>
      <c r="AC38" s="1"/>
      <c r="AD38" s="1"/>
      <c r="AE38" s="1"/>
      <c r="AF38" s="1"/>
      <c r="AG38" s="1"/>
      <c r="AH38" s="1"/>
      <c r="AI38" s="1"/>
      <c r="AJ38" s="1"/>
      <c r="AK38" s="1"/>
      <c r="AL38" s="1"/>
      <c r="AM38" s="1"/>
    </row>
    <row r="40" spans="1:39" s="1" customFormat="1">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row>
    <row r="41" spans="1:39" ht="14.45" customHeight="1"/>
    <row r="42" spans="1:39" ht="14.45" customHeight="1"/>
    <row r="47" spans="1:39" ht="26.45" customHeight="1"/>
    <row r="88" ht="14.1" customHeight="1"/>
    <row r="135" ht="14.1" customHeight="1"/>
    <row r="184" ht="14.1" customHeight="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31" ht="14.1" customHeight="1"/>
    <row r="279" ht="14.45" customHeight="1"/>
    <row r="284" ht="15.6" customHeight="1"/>
  </sheetData>
  <mergeCells count="7">
    <mergeCell ref="B31:C31"/>
    <mergeCell ref="D31:E31"/>
    <mergeCell ref="B2:E2"/>
    <mergeCell ref="X4:AG4"/>
    <mergeCell ref="X5:Y6"/>
    <mergeCell ref="Z5:AG5"/>
    <mergeCell ref="X13:Y13"/>
  </mergeCells>
  <pageMargins left="0.7" right="0.7" top="0.75" bottom="0.75" header="0.3" footer="0.3"/>
  <pageSetup orientation="portrait" r:id="rId1"/>
  <ignoredErrors>
    <ignoredError sqref="E25" formula="1"/>
  </ignoredError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8B828-6679-4226-BB10-4D6C0689F153}">
  <sheetPr>
    <tabColor rgb="FF92D050"/>
  </sheetPr>
  <dimension ref="A1:AT137"/>
  <sheetViews>
    <sheetView topLeftCell="M1" zoomScale="80" zoomScaleNormal="80" workbookViewId="0">
      <selection activeCell="AK35" sqref="AK35"/>
    </sheetView>
  </sheetViews>
  <sheetFormatPr defaultColWidth="9.140625" defaultRowHeight="15.75"/>
  <cols>
    <col min="1" max="1" width="30.5703125" style="697" customWidth="1"/>
    <col min="2" max="3" width="11.7109375" style="697" customWidth="1"/>
    <col min="4" max="4" width="14.140625" style="697" customWidth="1"/>
    <col min="5" max="5" width="9.140625" style="697"/>
    <col min="6" max="6" width="30.85546875" style="697" customWidth="1"/>
    <col min="7" max="7" width="15.42578125" style="697" customWidth="1"/>
    <col min="8" max="8" width="13.85546875" style="697" bestFit="1" customWidth="1"/>
    <col min="9" max="9" width="12.140625" style="697" customWidth="1"/>
    <col min="10" max="11" width="12.140625" style="697" hidden="1" customWidth="1"/>
    <col min="12" max="12" width="11.5703125" style="697" customWidth="1"/>
    <col min="13" max="13" width="30.85546875" style="697" customWidth="1"/>
    <col min="14" max="14" width="15.42578125" style="697" customWidth="1"/>
    <col min="15" max="15" width="13.85546875" style="697" bestFit="1" customWidth="1"/>
    <col min="16" max="16" width="13" style="697" bestFit="1" customWidth="1"/>
    <col min="17" max="18" width="12.140625" style="697" hidden="1" customWidth="1"/>
    <col min="19" max="19" width="10.42578125" style="697" customWidth="1"/>
    <col min="20" max="20" width="30.85546875" style="697" customWidth="1"/>
    <col min="21" max="21" width="15.42578125" style="697" customWidth="1"/>
    <col min="22" max="22" width="13.85546875" style="697" bestFit="1" customWidth="1"/>
    <col min="23" max="23" width="13" style="697" bestFit="1" customWidth="1"/>
    <col min="24" max="24" width="12.140625" style="697" hidden="1" customWidth="1"/>
    <col min="25" max="25" width="12.140625" style="697" customWidth="1"/>
    <col min="26" max="26" width="9.140625" style="697" hidden="1" customWidth="1"/>
    <col min="27" max="27" width="30.85546875" style="697" hidden="1" customWidth="1"/>
    <col min="28" max="28" width="15.42578125" style="697" hidden="1" customWidth="1"/>
    <col min="29" max="29" width="13.85546875" style="697" hidden="1" customWidth="1"/>
    <col min="30" max="30" width="12.140625" style="697" hidden="1" customWidth="1"/>
    <col min="31" max="31" width="9.5703125" style="697" hidden="1" customWidth="1"/>
    <col min="32" max="32" width="12" style="697" hidden="1" customWidth="1"/>
    <col min="33" max="33" width="9.140625" style="697" hidden="1" customWidth="1"/>
    <col min="34" max="34" width="9.140625" style="697"/>
    <col min="35" max="35" width="37.85546875" style="697" bestFit="1" customWidth="1"/>
    <col min="36" max="36" width="12" style="697" bestFit="1" customWidth="1"/>
    <col min="37" max="16384" width="9.140625" style="697"/>
  </cols>
  <sheetData>
    <row r="1" spans="1:44" ht="16.5" thickBot="1">
      <c r="F1" s="872"/>
      <c r="G1" s="873"/>
      <c r="H1" s="873"/>
      <c r="I1" s="873"/>
      <c r="J1" s="696"/>
      <c r="K1" s="696"/>
      <c r="M1" s="872"/>
      <c r="T1" s="872"/>
      <c r="U1" s="873"/>
      <c r="V1" s="873"/>
      <c r="W1" s="873"/>
      <c r="X1" s="696"/>
      <c r="Y1" s="696"/>
    </row>
    <row r="2" spans="1:44" ht="18.75" customHeight="1" thickBot="1">
      <c r="A2" s="1094" t="s">
        <v>612</v>
      </c>
      <c r="B2" s="1095"/>
      <c r="C2" s="1095"/>
      <c r="D2" s="1096"/>
      <c r="F2" s="1174" t="s">
        <v>615</v>
      </c>
      <c r="G2" s="1176"/>
      <c r="H2" s="1176"/>
      <c r="I2" s="1177"/>
      <c r="J2" s="874" t="s">
        <v>298</v>
      </c>
      <c r="K2" s="875"/>
      <c r="M2" s="1174" t="s">
        <v>617</v>
      </c>
      <c r="N2" s="1176"/>
      <c r="O2" s="1176"/>
      <c r="P2" s="1177"/>
      <c r="Q2" s="874" t="s">
        <v>298</v>
      </c>
      <c r="R2" s="875"/>
      <c r="T2" s="1174" t="s">
        <v>616</v>
      </c>
      <c r="U2" s="1176"/>
      <c r="V2" s="1176"/>
      <c r="W2" s="1177"/>
      <c r="X2" s="874" t="s">
        <v>298</v>
      </c>
      <c r="Y2" s="875"/>
    </row>
    <row r="3" spans="1:44" ht="15" customHeight="1" thickBot="1">
      <c r="A3" s="700"/>
      <c r="B3" s="701" t="s">
        <v>299</v>
      </c>
      <c r="C3" s="702" t="s">
        <v>300</v>
      </c>
      <c r="D3" s="703" t="s">
        <v>301</v>
      </c>
      <c r="F3" s="700"/>
      <c r="G3" s="701" t="s">
        <v>299</v>
      </c>
      <c r="H3" s="702" t="s">
        <v>300</v>
      </c>
      <c r="I3" s="703" t="s">
        <v>301</v>
      </c>
      <c r="J3" s="704"/>
      <c r="K3" s="705"/>
      <c r="M3" s="700"/>
      <c r="N3" s="701" t="s">
        <v>299</v>
      </c>
      <c r="O3" s="702" t="s">
        <v>300</v>
      </c>
      <c r="P3" s="703" t="s">
        <v>301</v>
      </c>
      <c r="Q3" s="704"/>
      <c r="R3" s="705"/>
      <c r="T3" s="700"/>
      <c r="U3" s="701" t="s">
        <v>299</v>
      </c>
      <c r="V3" s="702" t="s">
        <v>300</v>
      </c>
      <c r="W3" s="703" t="s">
        <v>301</v>
      </c>
      <c r="X3" s="704"/>
      <c r="Y3" s="705"/>
      <c r="AI3" s="1178" t="s">
        <v>302</v>
      </c>
      <c r="AJ3" s="1179"/>
      <c r="AK3" s="1179"/>
      <c r="AL3" s="1179"/>
      <c r="AM3" s="1179"/>
      <c r="AN3" s="1179"/>
      <c r="AO3" s="1179"/>
      <c r="AP3" s="1179"/>
      <c r="AQ3" s="1179"/>
      <c r="AR3" s="1180"/>
    </row>
    <row r="4" spans="1:44" ht="15" customHeight="1" thickBot="1">
      <c r="A4" s="710" t="s">
        <v>303</v>
      </c>
      <c r="B4" s="711">
        <f>G4</f>
        <v>79415.232000000018</v>
      </c>
      <c r="C4" s="712">
        <v>0.31</v>
      </c>
      <c r="D4" s="713">
        <f t="shared" ref="D4:D7" si="0">B4*C4</f>
        <v>24618.721920000007</v>
      </c>
      <c r="F4" s="876" t="s">
        <v>303</v>
      </c>
      <c r="G4" s="711">
        <f>AJ6</f>
        <v>79415.232000000018</v>
      </c>
      <c r="H4" s="712">
        <f>AVERAGE($AK$28:$AR$28)*(SUM(H5:H7))</f>
        <v>0.47302466321777603</v>
      </c>
      <c r="I4" s="713">
        <f t="shared" ref="I4:I9" si="1">G4*H4</f>
        <v>37565.363371161562</v>
      </c>
      <c r="J4" s="877">
        <f t="shared" ref="J4" si="2">H4*40</f>
        <v>18.92098652871104</v>
      </c>
      <c r="K4" s="878"/>
      <c r="M4" s="710" t="s">
        <v>303</v>
      </c>
      <c r="N4" s="711">
        <f>AJ6</f>
        <v>79415.232000000018</v>
      </c>
      <c r="O4" s="712">
        <f>AVERAGE($AK$28:$AR$28)*(SUM(O5:O8))</f>
        <v>0.59128082902222001</v>
      </c>
      <c r="P4" s="713">
        <f t="shared" ref="P4:P8" si="3">N4*O4</f>
        <v>46956.704213951947</v>
      </c>
      <c r="Q4" s="877">
        <f t="shared" ref="Q4:Q8" si="4">O4*40</f>
        <v>23.6512331608888</v>
      </c>
      <c r="R4" s="878"/>
      <c r="T4" s="710" t="s">
        <v>303</v>
      </c>
      <c r="U4" s="711">
        <f>AJ6</f>
        <v>79415.232000000018</v>
      </c>
      <c r="V4" s="712">
        <v>0.55000000000000004</v>
      </c>
      <c r="W4" s="713">
        <f t="shared" ref="W4:W11" si="5">U4*V4</f>
        <v>43678.377600000014</v>
      </c>
      <c r="X4" s="877">
        <f t="shared" ref="X4:X13" si="6">V4*40</f>
        <v>22</v>
      </c>
      <c r="Y4" s="878"/>
      <c r="AI4" s="1181" t="s">
        <v>304</v>
      </c>
      <c r="AJ4" s="1182"/>
      <c r="AK4" s="1174" t="s">
        <v>305</v>
      </c>
      <c r="AL4" s="1176"/>
      <c r="AM4" s="1176"/>
      <c r="AN4" s="1176"/>
      <c r="AO4" s="1176"/>
      <c r="AP4" s="1176"/>
      <c r="AQ4" s="1176"/>
      <c r="AR4" s="1177"/>
    </row>
    <row r="5" spans="1:44" ht="16.5" thickBot="1">
      <c r="A5" s="710" t="s">
        <v>519</v>
      </c>
      <c r="B5" s="711">
        <f>AJ9</f>
        <v>80606.448000000004</v>
      </c>
      <c r="C5" s="712">
        <v>0.5</v>
      </c>
      <c r="D5" s="713">
        <f t="shared" si="0"/>
        <v>40303.224000000002</v>
      </c>
      <c r="F5" s="710" t="s">
        <v>461</v>
      </c>
      <c r="G5" s="711">
        <f>AJ9</f>
        <v>80606.448000000004</v>
      </c>
      <c r="H5" s="712">
        <v>1</v>
      </c>
      <c r="I5" s="713">
        <f t="shared" si="1"/>
        <v>80606.448000000004</v>
      </c>
      <c r="J5" s="877" t="e">
        <f>#REF!*40</f>
        <v>#REF!</v>
      </c>
      <c r="K5" s="878"/>
      <c r="M5" s="710" t="s">
        <v>460</v>
      </c>
      <c r="N5" s="711">
        <f>AJ7</f>
        <v>101383.77600000001</v>
      </c>
      <c r="O5" s="712">
        <v>1</v>
      </c>
      <c r="P5" s="713">
        <f t="shared" si="3"/>
        <v>101383.77600000001</v>
      </c>
      <c r="Q5" s="877">
        <f t="shared" si="4"/>
        <v>40</v>
      </c>
      <c r="R5" s="878"/>
      <c r="T5" s="710" t="s">
        <v>460</v>
      </c>
      <c r="U5" s="711">
        <f>AJ7</f>
        <v>101383.77600000001</v>
      </c>
      <c r="V5" s="712">
        <v>1</v>
      </c>
      <c r="W5" s="713">
        <f t="shared" si="5"/>
        <v>101383.77600000001</v>
      </c>
      <c r="X5" s="877">
        <f t="shared" si="6"/>
        <v>40</v>
      </c>
      <c r="Y5" s="878"/>
      <c r="AI5" s="1183"/>
      <c r="AJ5" s="1184"/>
      <c r="AK5" s="812" t="s">
        <v>307</v>
      </c>
      <c r="AL5" s="812" t="s">
        <v>308</v>
      </c>
      <c r="AM5" s="812" t="s">
        <v>309</v>
      </c>
      <c r="AN5" s="812" t="s">
        <v>310</v>
      </c>
      <c r="AO5" s="812" t="s">
        <v>311</v>
      </c>
      <c r="AP5" s="812" t="s">
        <v>312</v>
      </c>
      <c r="AQ5" s="812" t="s">
        <v>313</v>
      </c>
      <c r="AR5" s="812" t="s">
        <v>314</v>
      </c>
    </row>
    <row r="6" spans="1:44">
      <c r="A6" s="710" t="s">
        <v>458</v>
      </c>
      <c r="B6" s="711">
        <f>G7</f>
        <v>53206.566400000003</v>
      </c>
      <c r="C6" s="712">
        <v>0.1</v>
      </c>
      <c r="D6" s="713">
        <f t="shared" si="0"/>
        <v>5320.6566400000011</v>
      </c>
      <c r="F6" s="876" t="s">
        <v>360</v>
      </c>
      <c r="G6" s="711">
        <f>AJ11</f>
        <v>64330.864000000001</v>
      </c>
      <c r="H6" s="712">
        <v>1</v>
      </c>
      <c r="I6" s="713">
        <f t="shared" si="1"/>
        <v>64330.864000000001</v>
      </c>
      <c r="J6" s="877">
        <f>H5*40</f>
        <v>40</v>
      </c>
      <c r="K6" s="878"/>
      <c r="M6" s="710" t="s">
        <v>461</v>
      </c>
      <c r="N6" s="711">
        <f>AJ9</f>
        <v>80606.448000000004</v>
      </c>
      <c r="O6" s="712">
        <v>1</v>
      </c>
      <c r="P6" s="713">
        <f t="shared" si="3"/>
        <v>80606.448000000004</v>
      </c>
      <c r="Q6" s="877">
        <f t="shared" si="4"/>
        <v>40</v>
      </c>
      <c r="R6" s="878"/>
      <c r="T6" s="710" t="s">
        <v>360</v>
      </c>
      <c r="U6" s="711">
        <f>AJ11</f>
        <v>64330.864000000001</v>
      </c>
      <c r="V6" s="712">
        <v>0.6</v>
      </c>
      <c r="W6" s="713">
        <f t="shared" si="5"/>
        <v>38598.518400000001</v>
      </c>
      <c r="X6" s="877">
        <f t="shared" si="6"/>
        <v>24</v>
      </c>
      <c r="Y6" s="878"/>
      <c r="AI6" s="716" t="s">
        <v>303</v>
      </c>
      <c r="AJ6" s="879">
        <f>'M2022 BLS SALARY CHART (53_PCT)'!C22</f>
        <v>79415.232000000018</v>
      </c>
      <c r="AK6" s="815">
        <v>0.20793518578803963</v>
      </c>
      <c r="AL6" s="813">
        <v>0.20793518578803963</v>
      </c>
      <c r="AM6" s="813">
        <v>0.45454545454545453</v>
      </c>
      <c r="AN6" s="813">
        <v>0.17141009055627424</v>
      </c>
      <c r="AO6" s="813">
        <v>0.57834862385321095</v>
      </c>
      <c r="AP6" s="813">
        <v>0.69090909090909092</v>
      </c>
      <c r="AQ6" s="813">
        <v>0.54186582691334406</v>
      </c>
      <c r="AR6" s="814">
        <v>0.56619472021660655</v>
      </c>
    </row>
    <row r="7" spans="1:44">
      <c r="A7" s="710" t="s">
        <v>321</v>
      </c>
      <c r="B7" s="711">
        <f>G6</f>
        <v>64330.864000000001</v>
      </c>
      <c r="C7" s="712">
        <v>1.5</v>
      </c>
      <c r="D7" s="713">
        <f t="shared" si="0"/>
        <v>96496.296000000002</v>
      </c>
      <c r="F7" s="710" t="s">
        <v>458</v>
      </c>
      <c r="G7" s="711">
        <f>AJ14</f>
        <v>53206.566400000003</v>
      </c>
      <c r="H7" s="712">
        <v>1.2</v>
      </c>
      <c r="I7" s="713">
        <f t="shared" si="1"/>
        <v>63847.879679999998</v>
      </c>
      <c r="J7" s="877">
        <f>H6*40</f>
        <v>40</v>
      </c>
      <c r="K7" s="878"/>
      <c r="M7" s="710" t="s">
        <v>360</v>
      </c>
      <c r="N7" s="711">
        <f>AJ11</f>
        <v>64330.864000000001</v>
      </c>
      <c r="O7" s="712">
        <v>1</v>
      </c>
      <c r="P7" s="713">
        <f t="shared" si="3"/>
        <v>64330.864000000001</v>
      </c>
      <c r="Q7" s="877">
        <f t="shared" si="4"/>
        <v>40</v>
      </c>
      <c r="R7" s="878"/>
      <c r="T7" s="710" t="s">
        <v>458</v>
      </c>
      <c r="U7" s="711">
        <f>AJ14</f>
        <v>53206.566400000003</v>
      </c>
      <c r="V7" s="712">
        <v>0.4</v>
      </c>
      <c r="W7" s="713">
        <f t="shared" si="5"/>
        <v>21282.626560000004</v>
      </c>
      <c r="X7" s="877">
        <f t="shared" si="6"/>
        <v>16</v>
      </c>
      <c r="Y7" s="878"/>
      <c r="AI7" s="718" t="s">
        <v>460</v>
      </c>
      <c r="AJ7" s="879">
        <f>'M2022 BLS SALARY CHART (53_PCT)'!C28</f>
        <v>101383.77600000001</v>
      </c>
      <c r="AK7" s="818"/>
      <c r="AL7" s="816"/>
      <c r="AM7" s="816"/>
      <c r="AN7" s="816"/>
      <c r="AO7" s="816"/>
      <c r="AP7" s="816"/>
      <c r="AQ7" s="816"/>
      <c r="AR7" s="817"/>
    </row>
    <row r="8" spans="1:44">
      <c r="A8" s="710" t="s">
        <v>521</v>
      </c>
      <c r="B8" s="711">
        <f>G9</f>
        <v>65676.416000000012</v>
      </c>
      <c r="C8" s="712">
        <v>0.26</v>
      </c>
      <c r="D8" s="713">
        <f>B8*C8</f>
        <v>17075.868160000005</v>
      </c>
      <c r="F8" s="710" t="s">
        <v>620</v>
      </c>
      <c r="G8" s="880">
        <f>AJ15</f>
        <v>41600</v>
      </c>
      <c r="H8" s="712">
        <v>0.24</v>
      </c>
      <c r="I8" s="713">
        <f>H8*G8</f>
        <v>9984</v>
      </c>
      <c r="J8" s="877">
        <f>H7*40</f>
        <v>48</v>
      </c>
      <c r="K8" s="878"/>
      <c r="M8" s="710" t="s">
        <v>458</v>
      </c>
      <c r="N8" s="711">
        <f>AJ14</f>
        <v>53206.566400000003</v>
      </c>
      <c r="O8" s="712">
        <v>1</v>
      </c>
      <c r="P8" s="713">
        <f t="shared" si="3"/>
        <v>53206.566400000003</v>
      </c>
      <c r="Q8" s="877">
        <f t="shared" si="4"/>
        <v>40</v>
      </c>
      <c r="R8" s="878"/>
      <c r="T8" s="710" t="s">
        <v>461</v>
      </c>
      <c r="U8" s="711">
        <f>AJ9</f>
        <v>80606.448000000004</v>
      </c>
      <c r="V8" s="712">
        <v>0.6</v>
      </c>
      <c r="W8" s="713">
        <f t="shared" si="5"/>
        <v>48363.868800000004</v>
      </c>
      <c r="X8" s="877">
        <f t="shared" si="6"/>
        <v>24</v>
      </c>
      <c r="Y8" s="878"/>
      <c r="AI8" s="718" t="s">
        <v>156</v>
      </c>
      <c r="AJ8" s="879">
        <f>'M2022 BLS SALARY CHART (53_PCT)'!C24</f>
        <v>79076.399999999994</v>
      </c>
      <c r="AK8" s="818"/>
      <c r="AL8" s="816"/>
      <c r="AM8" s="816"/>
      <c r="AN8" s="816"/>
      <c r="AO8" s="816"/>
      <c r="AP8" s="816"/>
      <c r="AQ8" s="816"/>
      <c r="AR8" s="817"/>
    </row>
    <row r="9" spans="1:44">
      <c r="A9" s="721" t="str">
        <f>M10</f>
        <v>Clerical Support</v>
      </c>
      <c r="B9" s="722">
        <f>G8</f>
        <v>41600</v>
      </c>
      <c r="C9" s="712">
        <v>0.16</v>
      </c>
      <c r="D9" s="723">
        <f>C9*B9</f>
        <v>6656</v>
      </c>
      <c r="F9" s="710" t="s">
        <v>580</v>
      </c>
      <c r="G9" s="880">
        <f>AJ13</f>
        <v>65676.416000000012</v>
      </c>
      <c r="H9" s="712">
        <f>$AJ$30*(SUM(H5:H7))</f>
        <v>0.4</v>
      </c>
      <c r="I9" s="713">
        <f t="shared" si="1"/>
        <v>26270.566400000007</v>
      </c>
      <c r="J9" s="877">
        <f>H8*40</f>
        <v>9.6</v>
      </c>
      <c r="K9" s="878"/>
      <c r="M9" s="710" t="s">
        <v>580</v>
      </c>
      <c r="N9" s="711">
        <f>AJ13</f>
        <v>65676.416000000012</v>
      </c>
      <c r="O9" s="712">
        <f>$AJ$30*(SUM(O5:O8))</f>
        <v>0.5</v>
      </c>
      <c r="P9" s="713">
        <f>N9*O9</f>
        <v>32838.208000000006</v>
      </c>
      <c r="Q9" s="877" t="e">
        <f>#REF!*40</f>
        <v>#REF!</v>
      </c>
      <c r="R9" s="878"/>
      <c r="T9" s="710" t="s">
        <v>463</v>
      </c>
      <c r="U9" s="711">
        <f>AJ12</f>
        <v>88933.977599999998</v>
      </c>
      <c r="V9" s="712">
        <v>0.25</v>
      </c>
      <c r="W9" s="713">
        <f t="shared" si="5"/>
        <v>22233.4944</v>
      </c>
      <c r="X9" s="877">
        <f t="shared" si="6"/>
        <v>10</v>
      </c>
      <c r="Y9" s="878"/>
      <c r="AI9" s="718" t="s">
        <v>319</v>
      </c>
      <c r="AJ9" s="879">
        <f>'M2022 BLS SALARY CHART (53_PCT)'!C18</f>
        <v>80606.448000000004</v>
      </c>
      <c r="AK9" s="818"/>
      <c r="AL9" s="816"/>
      <c r="AM9" s="816">
        <v>1.1357541478464965</v>
      </c>
      <c r="AN9" s="816">
        <v>0.32923673997412672</v>
      </c>
      <c r="AO9" s="816">
        <v>2.0403669724770643</v>
      </c>
      <c r="AP9" s="816">
        <v>1.9335664335664335</v>
      </c>
      <c r="AQ9" s="816">
        <v>1.8452173424056681</v>
      </c>
      <c r="AR9" s="817">
        <v>1.2765117328519857</v>
      </c>
    </row>
    <row r="10" spans="1:44">
      <c r="A10" s="721"/>
      <c r="B10" s="724"/>
      <c r="C10" s="712"/>
      <c r="D10" s="713"/>
      <c r="F10" s="721"/>
      <c r="G10" s="722"/>
      <c r="H10" s="712"/>
      <c r="I10" s="713"/>
      <c r="J10" s="877">
        <f>H9*40</f>
        <v>16</v>
      </c>
      <c r="K10" s="878"/>
      <c r="M10" s="721" t="str">
        <f>AI15</f>
        <v>Clerical Support</v>
      </c>
      <c r="N10" s="722">
        <f>AJ15</f>
        <v>41600</v>
      </c>
      <c r="O10" s="712">
        <v>0.3</v>
      </c>
      <c r="P10" s="723">
        <f>O10*N10</f>
        <v>12480</v>
      </c>
      <c r="Q10" s="877">
        <f>O9*40</f>
        <v>20</v>
      </c>
      <c r="R10" s="878"/>
      <c r="T10" s="710" t="s">
        <v>466</v>
      </c>
      <c r="U10" s="711">
        <f>AJ8</f>
        <v>79076.399999999994</v>
      </c>
      <c r="V10" s="712">
        <v>0.2</v>
      </c>
      <c r="W10" s="713">
        <f t="shared" si="5"/>
        <v>15815.279999999999</v>
      </c>
      <c r="X10" s="877">
        <f t="shared" si="6"/>
        <v>8</v>
      </c>
      <c r="Y10" s="878"/>
      <c r="AI10" s="718" t="s">
        <v>464</v>
      </c>
      <c r="AJ10" s="879">
        <f>'M2022 BLS SALARY CHART (53_PCT)'!C20</f>
        <v>68100.032000000007</v>
      </c>
      <c r="AK10" s="818"/>
      <c r="AL10" s="816"/>
      <c r="AM10" s="816"/>
      <c r="AN10" s="816"/>
      <c r="AO10" s="816"/>
      <c r="AP10" s="816"/>
      <c r="AQ10" s="816"/>
      <c r="AR10" s="817"/>
    </row>
    <row r="11" spans="1:44">
      <c r="A11" s="721"/>
      <c r="B11" s="724"/>
      <c r="C11" s="712"/>
      <c r="D11" s="713"/>
      <c r="F11" s="721"/>
      <c r="G11" s="724"/>
      <c r="H11" s="712"/>
      <c r="I11" s="713"/>
      <c r="J11" s="725"/>
      <c r="K11" s="726"/>
      <c r="M11" s="721"/>
      <c r="N11" s="724"/>
      <c r="O11" s="712"/>
      <c r="P11" s="713"/>
      <c r="Q11" s="725"/>
      <c r="R11" s="726"/>
      <c r="T11" s="710" t="s">
        <v>464</v>
      </c>
      <c r="U11" s="711">
        <f>AJ10</f>
        <v>68100.032000000007</v>
      </c>
      <c r="V11" s="712">
        <v>0.2</v>
      </c>
      <c r="W11" s="713">
        <f t="shared" si="5"/>
        <v>13620.006400000002</v>
      </c>
      <c r="X11" s="877">
        <f t="shared" si="6"/>
        <v>8</v>
      </c>
      <c r="Y11" s="878"/>
      <c r="AI11" s="718" t="s">
        <v>321</v>
      </c>
      <c r="AJ11" s="879">
        <f>'M2022 BLS SALARY CHART (53_PCT)'!C14</f>
        <v>64330.864000000001</v>
      </c>
      <c r="AK11" s="818">
        <v>0.45</v>
      </c>
      <c r="AL11" s="816">
        <v>0.7</v>
      </c>
      <c r="AM11" s="816">
        <v>0.15</v>
      </c>
      <c r="AN11" s="816">
        <v>0.7</v>
      </c>
      <c r="AO11" s="816"/>
      <c r="AP11" s="816">
        <v>0.25</v>
      </c>
      <c r="AQ11" s="816">
        <v>1.1000000000000001</v>
      </c>
      <c r="AR11" s="817">
        <v>0.9</v>
      </c>
    </row>
    <row r="12" spans="1:44">
      <c r="A12" s="728" t="s">
        <v>326</v>
      </c>
      <c r="B12" s="729"/>
      <c r="C12" s="730">
        <f>SUM(C4:C9)</f>
        <v>2.83</v>
      </c>
      <c r="D12" s="731">
        <f>SUM(D4:D9)</f>
        <v>190470.76672000001</v>
      </c>
      <c r="F12" s="728" t="s">
        <v>326</v>
      </c>
      <c r="G12" s="729"/>
      <c r="H12" s="730">
        <f>SUM(H4:H9)</f>
        <v>4.3130246632177762</v>
      </c>
      <c r="I12" s="731">
        <f>SUM(I4:I9)</f>
        <v>282605.12145116157</v>
      </c>
      <c r="J12" s="725"/>
      <c r="K12" s="726"/>
      <c r="M12" s="728" t="s">
        <v>326</v>
      </c>
      <c r="N12" s="729"/>
      <c r="O12" s="730">
        <f>SUM(O4:O10)</f>
        <v>5.3912808290222198</v>
      </c>
      <c r="P12" s="731">
        <f>SUM(P4:P10)</f>
        <v>391802.56661395193</v>
      </c>
      <c r="Q12" s="732"/>
      <c r="R12" s="733"/>
      <c r="T12" s="710" t="s">
        <v>580</v>
      </c>
      <c r="U12" s="711">
        <f>AJ13</f>
        <v>65676.416000000012</v>
      </c>
      <c r="V12" s="712">
        <v>0.66</v>
      </c>
      <c r="W12" s="713">
        <f>U12*V12</f>
        <v>43346.434560000009</v>
      </c>
      <c r="X12" s="877" t="e">
        <f>#REF!*40</f>
        <v>#REF!</v>
      </c>
      <c r="Y12" s="878"/>
      <c r="AI12" s="727" t="s">
        <v>581</v>
      </c>
      <c r="AJ12" s="879">
        <f>'M2022 BLS SALARY CHART (53_PCT)'!C30</f>
        <v>88933.977599999998</v>
      </c>
      <c r="AK12" s="818"/>
      <c r="AL12" s="816"/>
      <c r="AM12" s="816"/>
      <c r="AN12" s="816"/>
      <c r="AO12" s="816"/>
      <c r="AP12" s="816"/>
      <c r="AQ12" s="816"/>
      <c r="AR12" s="817"/>
    </row>
    <row r="13" spans="1:44">
      <c r="A13" s="737"/>
      <c r="B13" s="738"/>
      <c r="C13" s="739"/>
      <c r="D13" s="740"/>
      <c r="F13" s="737"/>
      <c r="G13" s="738"/>
      <c r="H13" s="739"/>
      <c r="I13" s="740"/>
      <c r="J13" s="732"/>
      <c r="K13" s="733"/>
      <c r="M13" s="737"/>
      <c r="N13" s="738"/>
      <c r="O13" s="739"/>
      <c r="P13" s="740"/>
      <c r="Q13" s="732"/>
      <c r="R13" s="733"/>
      <c r="T13" s="710" t="str">
        <f>AI15</f>
        <v>Clerical Support</v>
      </c>
      <c r="U13" s="881">
        <f>AJ15</f>
        <v>41600</v>
      </c>
      <c r="V13" s="712">
        <v>0.26</v>
      </c>
      <c r="W13" s="713">
        <f>V13*U13</f>
        <v>10816</v>
      </c>
      <c r="X13" s="877">
        <f t="shared" si="6"/>
        <v>10.4</v>
      </c>
      <c r="Y13" s="878"/>
      <c r="AI13" s="727" t="s">
        <v>465</v>
      </c>
      <c r="AJ13" s="879">
        <f>'M2022 BLS SALARY CHART (53_PCT)'!C16</f>
        <v>65676.416000000012</v>
      </c>
      <c r="AK13" s="818"/>
      <c r="AL13" s="816"/>
      <c r="AM13" s="816"/>
      <c r="AN13" s="816"/>
      <c r="AO13" s="816"/>
      <c r="AP13" s="816"/>
      <c r="AQ13" s="816"/>
      <c r="AR13" s="817"/>
    </row>
    <row r="14" spans="1:44">
      <c r="A14" s="737" t="s">
        <v>328</v>
      </c>
      <c r="B14" s="738"/>
      <c r="C14" s="744"/>
      <c r="D14" s="740"/>
      <c r="F14" s="737" t="s">
        <v>328</v>
      </c>
      <c r="G14" s="738"/>
      <c r="H14" s="744"/>
      <c r="I14" s="740"/>
      <c r="J14" s="732"/>
      <c r="K14" s="733"/>
      <c r="M14" s="737" t="s">
        <v>328</v>
      </c>
      <c r="N14" s="738"/>
      <c r="O14" s="744"/>
      <c r="P14" s="740"/>
      <c r="Q14" s="745"/>
      <c r="R14" s="746"/>
      <c r="T14" s="728" t="s">
        <v>326</v>
      </c>
      <c r="U14" s="729"/>
      <c r="V14" s="730">
        <f>SUM(V4:V13)</f>
        <v>4.72</v>
      </c>
      <c r="W14" s="731">
        <f>SUM(W4:W13)</f>
        <v>359138.38272000011</v>
      </c>
      <c r="X14" s="732"/>
      <c r="Y14" s="733"/>
      <c r="AI14" s="727" t="s">
        <v>324</v>
      </c>
      <c r="AJ14" s="879">
        <f>'M2022 BLS SALARY CHART (53_PCT)'!C8</f>
        <v>53206.566400000003</v>
      </c>
      <c r="AK14" s="818">
        <v>0.95</v>
      </c>
      <c r="AL14" s="816">
        <v>1.62</v>
      </c>
      <c r="AM14" s="816">
        <v>1.05</v>
      </c>
      <c r="AN14" s="816">
        <v>1.91</v>
      </c>
      <c r="AO14" s="816"/>
      <c r="AP14" s="816">
        <v>1.21</v>
      </c>
      <c r="AQ14" s="816">
        <v>3.79</v>
      </c>
      <c r="AR14" s="817">
        <v>2.39</v>
      </c>
    </row>
    <row r="15" spans="1:44" ht="16.5" thickBot="1">
      <c r="A15" s="752" t="s">
        <v>329</v>
      </c>
      <c r="B15" s="753">
        <f>G15</f>
        <v>0.27379999999999999</v>
      </c>
      <c r="C15" s="754"/>
      <c r="D15" s="755">
        <f>B15*D12</f>
        <v>52150.895927935999</v>
      </c>
      <c r="F15" s="752" t="s">
        <v>329</v>
      </c>
      <c r="G15" s="753">
        <f>$AJ$17</f>
        <v>0.27379999999999999</v>
      </c>
      <c r="H15" s="754"/>
      <c r="I15" s="755">
        <f>G15*I12</f>
        <v>77377.282253328041</v>
      </c>
      <c r="J15" s="745"/>
      <c r="K15" s="746"/>
      <c r="M15" s="752" t="s">
        <v>329</v>
      </c>
      <c r="N15" s="753">
        <f>$AJ$17</f>
        <v>0.27379999999999999</v>
      </c>
      <c r="O15" s="754"/>
      <c r="P15" s="755">
        <f>N15*P12</f>
        <v>107275.54273890004</v>
      </c>
      <c r="Q15" s="756"/>
      <c r="R15" s="757"/>
      <c r="T15" s="737"/>
      <c r="U15" s="738"/>
      <c r="V15" s="739"/>
      <c r="W15" s="740"/>
      <c r="X15" s="732"/>
      <c r="Y15" s="733"/>
      <c r="AI15" s="734" t="s">
        <v>620</v>
      </c>
      <c r="AJ15" s="879">
        <f>'M2022 BLS SALARY CHART (53_PCT)'!C36</f>
        <v>41600</v>
      </c>
      <c r="AK15" s="821">
        <v>0.13543146969089426</v>
      </c>
      <c r="AL15" s="882">
        <v>0.13543146969089426</v>
      </c>
      <c r="AM15" s="882">
        <v>0.25</v>
      </c>
      <c r="AN15" s="882">
        <v>0.16558861578266496</v>
      </c>
      <c r="AO15" s="882">
        <v>0.13064220183486239</v>
      </c>
      <c r="AP15" s="882">
        <v>0.20489510489510487</v>
      </c>
      <c r="AQ15" s="882">
        <v>0.33456109767755715</v>
      </c>
      <c r="AR15" s="883">
        <v>0.47354467509025272</v>
      </c>
    </row>
    <row r="16" spans="1:44" ht="16.5" thickBot="1">
      <c r="A16" s="760" t="s">
        <v>331</v>
      </c>
      <c r="B16" s="761"/>
      <c r="C16" s="762"/>
      <c r="D16" s="731">
        <f>D12+D15</f>
        <v>242621.66264793603</v>
      </c>
      <c r="F16" s="760" t="s">
        <v>331</v>
      </c>
      <c r="G16" s="761"/>
      <c r="H16" s="762"/>
      <c r="I16" s="731">
        <f>I12+I15</f>
        <v>359982.40370448958</v>
      </c>
      <c r="J16" s="756"/>
      <c r="K16" s="757"/>
      <c r="M16" s="760" t="s">
        <v>331</v>
      </c>
      <c r="N16" s="761"/>
      <c r="O16" s="762"/>
      <c r="P16" s="731">
        <f>P12+P15</f>
        <v>499078.10935285199</v>
      </c>
      <c r="Q16" s="745"/>
      <c r="R16" s="746"/>
      <c r="T16" s="737" t="s">
        <v>328</v>
      </c>
      <c r="U16" s="738"/>
      <c r="V16" s="744"/>
      <c r="W16" s="740"/>
      <c r="X16" s="745"/>
      <c r="Y16" s="746"/>
      <c r="AI16" s="1174" t="s">
        <v>325</v>
      </c>
      <c r="AJ16" s="1175"/>
      <c r="AK16" s="822" t="s">
        <v>307</v>
      </c>
      <c r="AL16" s="812" t="s">
        <v>308</v>
      </c>
      <c r="AM16" s="812" t="s">
        <v>309</v>
      </c>
      <c r="AN16" s="812" t="s">
        <v>310</v>
      </c>
      <c r="AO16" s="812" t="s">
        <v>311</v>
      </c>
      <c r="AP16" s="812" t="s">
        <v>312</v>
      </c>
      <c r="AQ16" s="812" t="s">
        <v>313</v>
      </c>
      <c r="AR16" s="812" t="s">
        <v>314</v>
      </c>
    </row>
    <row r="17" spans="1:44">
      <c r="A17" s="752" t="s">
        <v>209</v>
      </c>
      <c r="B17" s="763"/>
      <c r="C17" s="764">
        <f>AJ19</f>
        <v>5963.9694954316801</v>
      </c>
      <c r="D17" s="755">
        <f>C17*$C$12</f>
        <v>16878.033672071655</v>
      </c>
      <c r="F17" s="752" t="s">
        <v>209</v>
      </c>
      <c r="G17" s="763"/>
      <c r="H17" s="764">
        <f>$AJ$19</f>
        <v>5963.9694954316801</v>
      </c>
      <c r="I17" s="755">
        <f t="shared" ref="I17:I23" si="7">H17*H$12</f>
        <v>25722.747524475311</v>
      </c>
      <c r="J17" s="745"/>
      <c r="K17" s="746"/>
      <c r="M17" s="752" t="s">
        <v>209</v>
      </c>
      <c r="N17" s="763"/>
      <c r="O17" s="764">
        <f>$AJ$19</f>
        <v>5963.9694954316801</v>
      </c>
      <c r="P17" s="755">
        <f t="shared" ref="P17:P23" si="8">O17*O$12</f>
        <v>32153.43440559414</v>
      </c>
      <c r="Q17" s="765"/>
      <c r="R17" s="766"/>
      <c r="T17" s="752" t="s">
        <v>329</v>
      </c>
      <c r="U17" s="753">
        <f>$AJ$17</f>
        <v>0.27379999999999999</v>
      </c>
      <c r="V17" s="754"/>
      <c r="W17" s="755">
        <f>U17*W14</f>
        <v>98332.089188736019</v>
      </c>
      <c r="X17" s="756"/>
      <c r="Y17" s="757"/>
      <c r="AI17" s="747" t="s">
        <v>327</v>
      </c>
      <c r="AJ17" s="884">
        <f>'M2022 BLS SALARY CHART (53_PCT)'!C38</f>
        <v>0.27379999999999999</v>
      </c>
      <c r="AK17" s="1041" t="s">
        <v>179</v>
      </c>
      <c r="AL17" s="885"/>
      <c r="AM17" s="885"/>
      <c r="AN17" s="885"/>
      <c r="AO17" s="885"/>
      <c r="AP17" s="885"/>
      <c r="AQ17" s="885"/>
      <c r="AR17" s="886"/>
    </row>
    <row r="18" spans="1:44">
      <c r="A18" s="752" t="s">
        <v>214</v>
      </c>
      <c r="B18" s="763"/>
      <c r="C18" s="764">
        <f t="shared" ref="C18:C23" si="9">AJ20</f>
        <v>478.85919259527293</v>
      </c>
      <c r="D18" s="755">
        <f t="shared" ref="D18:D23" si="10">C18*$C$12</f>
        <v>1355.1715150446225</v>
      </c>
      <c r="F18" s="752" t="s">
        <v>214</v>
      </c>
      <c r="G18" s="763"/>
      <c r="H18" s="764">
        <f>$AJ$20</f>
        <v>478.85919259527293</v>
      </c>
      <c r="I18" s="755">
        <f t="shared" si="7"/>
        <v>2065.3315078719634</v>
      </c>
      <c r="J18" s="765"/>
      <c r="K18" s="766"/>
      <c r="M18" s="752" t="s">
        <v>214</v>
      </c>
      <c r="N18" s="763"/>
      <c r="O18" s="764">
        <f>$AJ$20</f>
        <v>478.85919259527293</v>
      </c>
      <c r="P18" s="755">
        <f t="shared" si="8"/>
        <v>2581.664384839954</v>
      </c>
      <c r="Q18" s="766" t="s">
        <v>467</v>
      </c>
      <c r="R18" s="766"/>
      <c r="T18" s="760" t="s">
        <v>331</v>
      </c>
      <c r="U18" s="761"/>
      <c r="V18" s="762"/>
      <c r="W18" s="731">
        <f>W14+W17</f>
        <v>457470.47190873616</v>
      </c>
      <c r="X18" s="745"/>
      <c r="Y18" s="746"/>
      <c r="AI18" s="752" t="s">
        <v>178</v>
      </c>
      <c r="AJ18" s="1037">
        <f>'M2022 BLS SALARY CHART (53_PCT)'!C41</f>
        <v>0.12</v>
      </c>
      <c r="AK18" s="1041" t="s">
        <v>179</v>
      </c>
      <c r="AL18" s="749"/>
      <c r="AM18" s="749"/>
      <c r="AN18" s="749"/>
      <c r="AO18" s="749"/>
      <c r="AP18" s="749"/>
      <c r="AQ18" s="887"/>
      <c r="AR18" s="888"/>
    </row>
    <row r="19" spans="1:44">
      <c r="A19" s="752" t="s">
        <v>215</v>
      </c>
      <c r="B19" s="763"/>
      <c r="C19" s="764">
        <f t="shared" si="9"/>
        <v>1549.7007880073575</v>
      </c>
      <c r="D19" s="755">
        <f t="shared" si="10"/>
        <v>4385.6532300608214</v>
      </c>
      <c r="F19" s="752" t="s">
        <v>215</v>
      </c>
      <c r="G19" s="763"/>
      <c r="H19" s="764">
        <f>$AJ$21</f>
        <v>1549.7007880073575</v>
      </c>
      <c r="I19" s="755">
        <f t="shared" si="7"/>
        <v>6683.8977192837556</v>
      </c>
      <c r="J19" s="766" t="s">
        <v>467</v>
      </c>
      <c r="K19" s="766"/>
      <c r="M19" s="752" t="s">
        <v>215</v>
      </c>
      <c r="N19" s="763"/>
      <c r="O19" s="764">
        <f>$AJ$21</f>
        <v>1549.7007880073575</v>
      </c>
      <c r="P19" s="755">
        <f t="shared" si="8"/>
        <v>8354.8721491046927</v>
      </c>
      <c r="Q19" s="766">
        <f>(P19+P21)/SUM(O5:O8)</f>
        <v>3025.7069822724466</v>
      </c>
      <c r="R19" s="766"/>
      <c r="T19" s="752" t="s">
        <v>209</v>
      </c>
      <c r="U19" s="763"/>
      <c r="V19" s="764">
        <f>$AJ$19</f>
        <v>5963.9694954316801</v>
      </c>
      <c r="W19" s="755">
        <f t="shared" ref="W19:W25" si="11">V19*$V$14</f>
        <v>28149.936018437529</v>
      </c>
      <c r="X19" s="765"/>
      <c r="Y19" s="766"/>
      <c r="AI19" s="752" t="s">
        <v>209</v>
      </c>
      <c r="AJ19" s="758">
        <v>5963.9694954316801</v>
      </c>
      <c r="AK19" s="749" t="s">
        <v>622</v>
      </c>
      <c r="AL19" s="743"/>
      <c r="AM19" s="743"/>
      <c r="AN19" s="743"/>
      <c r="AO19" s="743"/>
      <c r="AP19" s="743"/>
      <c r="AQ19" s="743"/>
      <c r="AR19" s="759"/>
    </row>
    <row r="20" spans="1:44">
      <c r="A20" s="752" t="s">
        <v>216</v>
      </c>
      <c r="B20" s="763"/>
      <c r="C20" s="764">
        <f t="shared" si="9"/>
        <v>879.07312379465145</v>
      </c>
      <c r="D20" s="755">
        <f t="shared" si="10"/>
        <v>2487.7769403388638</v>
      </c>
      <c r="F20" s="752" t="s">
        <v>216</v>
      </c>
      <c r="G20" s="763"/>
      <c r="H20" s="764">
        <f>$AJ$22</f>
        <v>879.07312379465145</v>
      </c>
      <c r="I20" s="755">
        <f t="shared" si="7"/>
        <v>3791.4640636982249</v>
      </c>
      <c r="J20" s="766">
        <f>(I19+I21)/SUM(H5:H7)</f>
        <v>3025.7069822724466</v>
      </c>
      <c r="K20" s="766"/>
      <c r="M20" s="752" t="s">
        <v>216</v>
      </c>
      <c r="N20" s="763"/>
      <c r="O20" s="764">
        <f>$AJ$22</f>
        <v>879.07312379465145</v>
      </c>
      <c r="P20" s="755">
        <f t="shared" si="8"/>
        <v>4739.3300796227813</v>
      </c>
      <c r="Q20" s="765"/>
      <c r="R20" s="766"/>
      <c r="T20" s="752" t="s">
        <v>214</v>
      </c>
      <c r="U20" s="763"/>
      <c r="V20" s="764">
        <f>$AJ$20</f>
        <v>478.85919259527293</v>
      </c>
      <c r="W20" s="755">
        <f t="shared" si="11"/>
        <v>2260.2153890496879</v>
      </c>
      <c r="X20" s="766" t="s">
        <v>467</v>
      </c>
      <c r="AI20" s="752" t="s">
        <v>214</v>
      </c>
      <c r="AJ20" s="758">
        <f>159.619730865091*3</f>
        <v>478.85919259527293</v>
      </c>
      <c r="AK20" s="749" t="s">
        <v>622</v>
      </c>
      <c r="AL20" s="743"/>
      <c r="AM20" s="743"/>
      <c r="AN20" s="743"/>
      <c r="AO20" s="743"/>
      <c r="AP20" s="743"/>
      <c r="AQ20" s="743"/>
      <c r="AR20" s="759"/>
    </row>
    <row r="21" spans="1:44">
      <c r="A21" s="752" t="s">
        <v>217</v>
      </c>
      <c r="B21" s="763"/>
      <c r="C21" s="764">
        <f t="shared" si="9"/>
        <v>695.1883789486875</v>
      </c>
      <c r="D21" s="755">
        <f t="shared" si="10"/>
        <v>1967.3831124247856</v>
      </c>
      <c r="F21" s="752" t="s">
        <v>217</v>
      </c>
      <c r="G21" s="763"/>
      <c r="H21" s="764">
        <f>$AJ$23</f>
        <v>695.1883789486875</v>
      </c>
      <c r="I21" s="755">
        <f t="shared" si="7"/>
        <v>2998.3646239880745</v>
      </c>
      <c r="J21" s="765"/>
      <c r="K21" s="766"/>
      <c r="M21" s="752" t="s">
        <v>217</v>
      </c>
      <c r="N21" s="763"/>
      <c r="O21" s="764">
        <f>$AJ$23</f>
        <v>695.1883789486875</v>
      </c>
      <c r="P21" s="755">
        <f t="shared" si="8"/>
        <v>3747.9557799850932</v>
      </c>
      <c r="Q21" s="765"/>
      <c r="R21" s="766"/>
      <c r="T21" s="752" t="s">
        <v>215</v>
      </c>
      <c r="U21" s="763"/>
      <c r="V21" s="764">
        <f>$AJ$21</f>
        <v>1549.7007880073575</v>
      </c>
      <c r="W21" s="755">
        <f t="shared" si="11"/>
        <v>7314.5877193947272</v>
      </c>
      <c r="X21" s="766">
        <f>(W21+W23)/SUM(V5:V12)</f>
        <v>2709.9429330006474</v>
      </c>
      <c r="AI21" s="752" t="s">
        <v>215</v>
      </c>
      <c r="AJ21" s="758">
        <f>1056.87839323969*(1.333)*1.1</f>
        <v>1549.7007880073575</v>
      </c>
      <c r="AK21" s="749" t="s">
        <v>622</v>
      </c>
      <c r="AL21" s="743"/>
      <c r="AM21" s="743"/>
      <c r="AN21" s="743"/>
      <c r="AO21" s="743"/>
      <c r="AP21" s="743"/>
      <c r="AQ21" s="743"/>
      <c r="AR21" s="759"/>
    </row>
    <row r="22" spans="1:44">
      <c r="A22" s="752" t="s">
        <v>221</v>
      </c>
      <c r="B22" s="763"/>
      <c r="C22" s="764">
        <f>AJ24*2</f>
        <v>3467.8686072174169</v>
      </c>
      <c r="D22" s="755">
        <f t="shared" si="10"/>
        <v>9814.0681584252907</v>
      </c>
      <c r="F22" s="752" t="s">
        <v>221</v>
      </c>
      <c r="G22" s="763"/>
      <c r="H22" s="764">
        <f>$AJ$24*2</f>
        <v>3467.8686072174169</v>
      </c>
      <c r="I22" s="755">
        <f t="shared" si="7"/>
        <v>14957.002831727397</v>
      </c>
      <c r="J22" s="765"/>
      <c r="K22" s="766"/>
      <c r="M22" s="752" t="s">
        <v>221</v>
      </c>
      <c r="N22" s="763"/>
      <c r="O22" s="764">
        <f>$AJ$24*2</f>
        <v>3467.8686072174169</v>
      </c>
      <c r="P22" s="755">
        <f t="shared" si="8"/>
        <v>18696.253539659247</v>
      </c>
      <c r="Q22" s="765"/>
      <c r="R22" s="766"/>
      <c r="T22" s="752" t="s">
        <v>216</v>
      </c>
      <c r="U22" s="763"/>
      <c r="V22" s="764">
        <f>$AJ$22</f>
        <v>879.07312379465145</v>
      </c>
      <c r="W22" s="755">
        <f t="shared" si="11"/>
        <v>4149.2251443107543</v>
      </c>
      <c r="X22" s="765"/>
      <c r="Y22" s="766"/>
      <c r="AI22" s="752" t="s">
        <v>216</v>
      </c>
      <c r="AJ22" s="758">
        <f>659.469710273557*1.333</f>
        <v>879.07312379465145</v>
      </c>
      <c r="AK22" s="749" t="s">
        <v>622</v>
      </c>
      <c r="AL22" s="743"/>
      <c r="AM22" s="743"/>
      <c r="AN22" s="743"/>
      <c r="AO22" s="743"/>
      <c r="AP22" s="743"/>
      <c r="AQ22" s="743"/>
      <c r="AR22" s="759"/>
    </row>
    <row r="23" spans="1:44">
      <c r="A23" s="752" t="s">
        <v>225</v>
      </c>
      <c r="B23" s="763"/>
      <c r="C23" s="764">
        <f t="shared" si="9"/>
        <v>2021.025365447505</v>
      </c>
      <c r="D23" s="755">
        <f t="shared" si="10"/>
        <v>5719.5017842164398</v>
      </c>
      <c r="F23" s="752" t="s">
        <v>225</v>
      </c>
      <c r="G23" s="763"/>
      <c r="H23" s="764">
        <f>$AJ$25</f>
        <v>2021.025365447505</v>
      </c>
      <c r="I23" s="755">
        <f t="shared" si="7"/>
        <v>8716.7322461638087</v>
      </c>
      <c r="J23" s="765"/>
      <c r="K23" s="766"/>
      <c r="M23" s="752" t="s">
        <v>225</v>
      </c>
      <c r="N23" s="763"/>
      <c r="O23" s="764">
        <f>$AJ$25</f>
        <v>2021.025365447505</v>
      </c>
      <c r="P23" s="755">
        <f t="shared" si="8"/>
        <v>10895.915307704759</v>
      </c>
      <c r="Q23" s="765"/>
      <c r="R23" s="766"/>
      <c r="T23" s="752" t="s">
        <v>217</v>
      </c>
      <c r="U23" s="763"/>
      <c r="V23" s="764">
        <f>$AJ$23</f>
        <v>695.1883789486875</v>
      </c>
      <c r="W23" s="755">
        <f t="shared" si="11"/>
        <v>3281.2891486378048</v>
      </c>
      <c r="X23" s="765"/>
      <c r="Y23" s="766"/>
      <c r="AI23" s="752" t="s">
        <v>217</v>
      </c>
      <c r="AJ23" s="758">
        <f>474.110604206975*1.333*1.1</f>
        <v>695.1883789486875</v>
      </c>
      <c r="AK23" s="749" t="s">
        <v>622</v>
      </c>
      <c r="AL23" s="743"/>
      <c r="AM23" s="743"/>
      <c r="AN23" s="743"/>
      <c r="AO23" s="743"/>
      <c r="AP23" s="743"/>
      <c r="AQ23" s="743"/>
      <c r="AR23" s="759"/>
    </row>
    <row r="24" spans="1:44">
      <c r="A24" s="752"/>
      <c r="B24" s="763"/>
      <c r="C24" s="712"/>
      <c r="D24" s="740"/>
      <c r="F24" s="752"/>
      <c r="G24" s="763"/>
      <c r="H24" s="712"/>
      <c r="I24" s="740"/>
      <c r="J24" s="765"/>
      <c r="K24" s="766"/>
      <c r="M24" s="752"/>
      <c r="N24" s="763"/>
      <c r="O24" s="712"/>
      <c r="P24" s="740"/>
      <c r="Q24" s="745"/>
      <c r="R24" s="746"/>
      <c r="T24" s="752" t="s">
        <v>221</v>
      </c>
      <c r="U24" s="763"/>
      <c r="V24" s="764">
        <f>$AJ$24*1.5</f>
        <v>2600.9014554130626</v>
      </c>
      <c r="W24" s="755">
        <f t="shared" si="11"/>
        <v>12276.254869549655</v>
      </c>
      <c r="X24" s="765"/>
      <c r="Y24" s="766"/>
      <c r="AI24" s="752" t="s">
        <v>221</v>
      </c>
      <c r="AJ24" s="758">
        <v>1733.9343036087084</v>
      </c>
      <c r="AK24" s="749" t="s">
        <v>622</v>
      </c>
      <c r="AL24" s="743"/>
      <c r="AM24" s="743"/>
      <c r="AN24" s="743"/>
      <c r="AO24" s="743"/>
      <c r="AP24" s="743"/>
      <c r="AQ24" s="743"/>
      <c r="AR24" s="759"/>
    </row>
    <row r="25" spans="1:44">
      <c r="A25" s="752" t="s">
        <v>337</v>
      </c>
      <c r="B25" s="768"/>
      <c r="C25" s="712"/>
      <c r="D25" s="755">
        <f>SUM(D17:D24)</f>
        <v>42607.588412582474</v>
      </c>
      <c r="F25" s="752" t="s">
        <v>337</v>
      </c>
      <c r="G25" s="768"/>
      <c r="H25" s="712"/>
      <c r="I25" s="755">
        <f>SUM(I17:I24)</f>
        <v>64935.540517208537</v>
      </c>
      <c r="J25" s="745"/>
      <c r="K25" s="746"/>
      <c r="M25" s="752" t="s">
        <v>337</v>
      </c>
      <c r="N25" s="768"/>
      <c r="O25" s="712"/>
      <c r="P25" s="755">
        <f>SUM(P17:P24)</f>
        <v>81169.425646510674</v>
      </c>
      <c r="T25" s="752" t="s">
        <v>225</v>
      </c>
      <c r="U25" s="763"/>
      <c r="V25" s="764">
        <f>$AJ$25</f>
        <v>2021.025365447505</v>
      </c>
      <c r="W25" s="755">
        <f t="shared" si="11"/>
        <v>9539.2397249122223</v>
      </c>
      <c r="X25" s="765"/>
      <c r="Y25" s="766"/>
      <c r="AI25" s="752" t="s">
        <v>225</v>
      </c>
      <c r="AJ25" s="758">
        <f>1347.35024363167*1.5</f>
        <v>2021.025365447505</v>
      </c>
      <c r="AK25" s="749" t="s">
        <v>622</v>
      </c>
      <c r="AL25" s="743"/>
      <c r="AM25" s="743"/>
      <c r="AN25" s="743"/>
      <c r="AO25" s="743"/>
      <c r="AP25" s="743"/>
      <c r="AQ25" s="743"/>
      <c r="AR25" s="759"/>
    </row>
    <row r="26" spans="1:44">
      <c r="A26" s="760" t="s">
        <v>338</v>
      </c>
      <c r="B26" s="761"/>
      <c r="C26" s="762"/>
      <c r="D26" s="731">
        <f>D16+D25</f>
        <v>285229.25106051849</v>
      </c>
      <c r="F26" s="760" t="s">
        <v>338</v>
      </c>
      <c r="G26" s="761"/>
      <c r="H26" s="762"/>
      <c r="I26" s="731">
        <f>I16+I25</f>
        <v>424917.9442216981</v>
      </c>
      <c r="M26" s="760" t="s">
        <v>338</v>
      </c>
      <c r="N26" s="761"/>
      <c r="O26" s="762"/>
      <c r="P26" s="731">
        <f>P16+P25</f>
        <v>580247.53499936266</v>
      </c>
      <c r="T26" s="752"/>
      <c r="U26" s="763"/>
      <c r="V26" s="712"/>
      <c r="W26" s="740"/>
      <c r="X26" s="745"/>
      <c r="Y26" s="746"/>
      <c r="AI26" s="752"/>
      <c r="AJ26" s="758"/>
      <c r="AK26" s="749"/>
      <c r="AL26" s="743"/>
      <c r="AM26" s="743"/>
      <c r="AN26" s="743"/>
      <c r="AO26" s="743"/>
      <c r="AP26" s="743"/>
      <c r="AQ26" s="743"/>
      <c r="AR26" s="759"/>
    </row>
    <row r="27" spans="1:44">
      <c r="A27" s="752" t="s">
        <v>341</v>
      </c>
      <c r="B27" s="768">
        <f>G27</f>
        <v>0.12</v>
      </c>
      <c r="C27" s="712"/>
      <c r="D27" s="755">
        <f>B27*D26</f>
        <v>34227.51012726222</v>
      </c>
      <c r="F27" s="752" t="s">
        <v>341</v>
      </c>
      <c r="G27" s="768">
        <f>$AJ$18</f>
        <v>0.12</v>
      </c>
      <c r="H27" s="712"/>
      <c r="I27" s="755">
        <f>G27*I26</f>
        <v>50990.153306603766</v>
      </c>
      <c r="M27" s="752" t="s">
        <v>341</v>
      </c>
      <c r="N27" s="768">
        <f>$AJ$18</f>
        <v>0.12</v>
      </c>
      <c r="O27" s="712"/>
      <c r="P27" s="755">
        <f>N27*P26</f>
        <v>69629.704199923523</v>
      </c>
      <c r="T27" s="752" t="s">
        <v>337</v>
      </c>
      <c r="U27" s="768"/>
      <c r="V27" s="712"/>
      <c r="W27" s="755">
        <f>SUM(W19:W26)</f>
        <v>66970.748014292389</v>
      </c>
      <c r="X27" s="765"/>
      <c r="AI27" s="752"/>
      <c r="AJ27" s="758"/>
      <c r="AK27" s="749"/>
      <c r="AL27" s="743"/>
      <c r="AM27" s="743"/>
      <c r="AN27" s="743"/>
      <c r="AO27" s="743"/>
      <c r="AP27" s="743"/>
      <c r="AQ27" s="743"/>
      <c r="AR27" s="759"/>
    </row>
    <row r="28" spans="1:44" ht="16.5" thickBot="1">
      <c r="A28" s="775" t="s">
        <v>342</v>
      </c>
      <c r="B28" s="776"/>
      <c r="C28" s="777"/>
      <c r="D28" s="778">
        <f>D27+D26</f>
        <v>319456.76118778071</v>
      </c>
      <c r="F28" s="775" t="s">
        <v>342</v>
      </c>
      <c r="G28" s="776"/>
      <c r="H28" s="777"/>
      <c r="I28" s="778">
        <f>I27+I26</f>
        <v>475908.09752830188</v>
      </c>
      <c r="M28" s="775" t="s">
        <v>342</v>
      </c>
      <c r="N28" s="776"/>
      <c r="O28" s="777"/>
      <c r="P28" s="778">
        <f>P27+P26</f>
        <v>649877.23919928621</v>
      </c>
      <c r="T28" s="760" t="s">
        <v>338</v>
      </c>
      <c r="U28" s="761"/>
      <c r="V28" s="762"/>
      <c r="W28" s="731">
        <f>W18+W27</f>
        <v>524441.21992302849</v>
      </c>
      <c r="AI28" s="752" t="s">
        <v>332</v>
      </c>
      <c r="AJ28" s="758"/>
      <c r="AK28" s="823">
        <f t="shared" ref="AK28:AR28" si="12">AK6/SUM(AK9:AK14)</f>
        <v>0.14852513270574261</v>
      </c>
      <c r="AL28" s="823">
        <f t="shared" si="12"/>
        <v>8.9627235253465345E-2</v>
      </c>
      <c r="AM28" s="823">
        <f t="shared" si="12"/>
        <v>0.19460329545578819</v>
      </c>
      <c r="AN28" s="823">
        <f t="shared" si="12"/>
        <v>5.8317891929243887E-2</v>
      </c>
      <c r="AO28" s="823">
        <f t="shared" si="12"/>
        <v>0.28345323741007189</v>
      </c>
      <c r="AP28" s="823">
        <f t="shared" si="12"/>
        <v>0.20359380151665021</v>
      </c>
      <c r="AQ28" s="823">
        <f t="shared" si="12"/>
        <v>8.0452611900390686E-2</v>
      </c>
      <c r="AR28" s="823">
        <f t="shared" si="12"/>
        <v>0.12398845187308723</v>
      </c>
    </row>
    <row r="29" spans="1:44" ht="17.25" thickTop="1" thickBot="1">
      <c r="A29" s="737" t="s">
        <v>618</v>
      </c>
      <c r="B29" s="738"/>
      <c r="C29" s="889">
        <f>G29</f>
        <v>2.6565517099262824E-2</v>
      </c>
      <c r="D29" s="740">
        <f>D28*C29</f>
        <v>8486.5340518091089</v>
      </c>
      <c r="F29" s="737" t="s">
        <v>618</v>
      </c>
      <c r="G29" s="890">
        <f>AJ35</f>
        <v>2.6565517099262824E-2</v>
      </c>
      <c r="H29" s="739"/>
      <c r="I29" s="740">
        <f>I28*G29</f>
        <v>12642.744702565744</v>
      </c>
      <c r="M29" s="737" t="s">
        <v>618</v>
      </c>
      <c r="N29" s="890">
        <f>AJ35</f>
        <v>2.6565517099262824E-2</v>
      </c>
      <c r="O29" s="739"/>
      <c r="P29" s="740">
        <f>P28*N29</f>
        <v>17264.324910370353</v>
      </c>
      <c r="T29" s="752" t="s">
        <v>341</v>
      </c>
      <c r="U29" s="768">
        <f>$AJ$18</f>
        <v>0.12</v>
      </c>
      <c r="V29" s="768"/>
      <c r="W29" s="755">
        <f>U29*W28</f>
        <v>62932.94639076342</v>
      </c>
      <c r="AI29" s="752" t="s">
        <v>334</v>
      </c>
      <c r="AJ29" s="827">
        <f>AVERAGE(AK29:AR29)</f>
        <v>7.4532576344018553E-2</v>
      </c>
      <c r="AK29" s="825">
        <f t="shared" ref="AK29:AR29" si="13">AK15/SUM(AK9:AK14)</f>
        <v>9.6736764064924471E-2</v>
      </c>
      <c r="AL29" s="825">
        <f t="shared" si="13"/>
        <v>5.8375633487454413E-2</v>
      </c>
      <c r="AM29" s="825">
        <f t="shared" si="13"/>
        <v>0.10703181250068351</v>
      </c>
      <c r="AN29" s="825">
        <f t="shared" si="13"/>
        <v>5.6337284278816749E-2</v>
      </c>
      <c r="AO29" s="825">
        <f t="shared" si="13"/>
        <v>6.4028776978417259E-2</v>
      </c>
      <c r="AP29" s="825">
        <f t="shared" si="13"/>
        <v>6.0377514012528846E-2</v>
      </c>
      <c r="AQ29" s="825">
        <f t="shared" si="13"/>
        <v>4.9673392953650315E-2</v>
      </c>
      <c r="AR29" s="825">
        <f t="shared" si="13"/>
        <v>0.10369943247567294</v>
      </c>
    </row>
    <row r="30" spans="1:44" ht="16.5" thickBot="1">
      <c r="A30" s="780" t="s">
        <v>619</v>
      </c>
      <c r="B30" s="781"/>
      <c r="C30" s="782"/>
      <c r="D30" s="783">
        <f>D29+D28</f>
        <v>327943.29523958982</v>
      </c>
      <c r="F30" s="780" t="s">
        <v>619</v>
      </c>
      <c r="G30" s="781"/>
      <c r="H30" s="782"/>
      <c r="I30" s="783">
        <f>I29+I28</f>
        <v>488550.84223086759</v>
      </c>
      <c r="M30" s="780" t="s">
        <v>619</v>
      </c>
      <c r="N30" s="781"/>
      <c r="O30" s="782"/>
      <c r="P30" s="783">
        <f>P29+P28</f>
        <v>667141.56410965661</v>
      </c>
      <c r="T30" s="775" t="s">
        <v>342</v>
      </c>
      <c r="U30" s="776"/>
      <c r="V30" s="777"/>
      <c r="W30" s="778">
        <f>W29+W28</f>
        <v>587374.16631379188</v>
      </c>
      <c r="AI30" s="752" t="s">
        <v>335</v>
      </c>
      <c r="AJ30" s="827">
        <v>0.125</v>
      </c>
      <c r="AK30" s="825"/>
      <c r="AL30" s="828"/>
      <c r="AM30" s="828"/>
      <c r="AN30" s="828"/>
      <c r="AO30" s="828"/>
      <c r="AP30" s="828"/>
      <c r="AQ30" s="828"/>
      <c r="AR30" s="828"/>
    </row>
    <row r="31" spans="1:44" ht="16.5" thickBot="1">
      <c r="A31" s="752" t="s">
        <v>522</v>
      </c>
      <c r="B31" s="743"/>
      <c r="C31" s="784"/>
      <c r="D31" s="759">
        <v>10</v>
      </c>
      <c r="F31" s="752" t="s">
        <v>343</v>
      </c>
      <c r="G31" s="743"/>
      <c r="H31" s="784"/>
      <c r="I31" s="759">
        <v>10</v>
      </c>
      <c r="M31" s="752" t="s">
        <v>343</v>
      </c>
      <c r="N31" s="743"/>
      <c r="O31" s="784"/>
      <c r="P31" s="759">
        <v>10</v>
      </c>
      <c r="Q31" s="697" t="s">
        <v>551</v>
      </c>
      <c r="T31" s="737" t="s">
        <v>618</v>
      </c>
      <c r="U31" s="890">
        <f>AJ35</f>
        <v>2.6565517099262824E-2</v>
      </c>
      <c r="V31" s="739"/>
      <c r="W31" s="740">
        <f>W30*U31</f>
        <v>15603.898458874284</v>
      </c>
      <c r="AI31" s="752"/>
      <c r="AJ31" s="743"/>
      <c r="AK31" s="749"/>
      <c r="AL31" s="743"/>
      <c r="AM31" s="743"/>
      <c r="AN31" s="743"/>
      <c r="AO31" s="743"/>
      <c r="AP31" s="743"/>
      <c r="AQ31" s="743"/>
      <c r="AR31" s="759"/>
    </row>
    <row r="32" spans="1:44" ht="16.5" thickBot="1">
      <c r="A32" s="752"/>
      <c r="B32" s="743"/>
      <c r="C32" s="784"/>
      <c r="D32" s="759"/>
      <c r="F32" s="752" t="s">
        <v>344</v>
      </c>
      <c r="G32" s="738"/>
      <c r="H32" s="739"/>
      <c r="I32" s="786">
        <f>I30/I31/365</f>
        <v>133.84954581667606</v>
      </c>
      <c r="M32" s="752" t="s">
        <v>344</v>
      </c>
      <c r="N32" s="738"/>
      <c r="O32" s="739"/>
      <c r="P32" s="786">
        <f>P30/P31/365</f>
        <v>182.7785107149744</v>
      </c>
      <c r="T32" s="780" t="s">
        <v>619</v>
      </c>
      <c r="U32" s="781"/>
      <c r="V32" s="782"/>
      <c r="W32" s="783">
        <f>W31+W30</f>
        <v>602978.0647726662</v>
      </c>
      <c r="AI32" s="833" t="s">
        <v>336</v>
      </c>
      <c r="AJ32" s="834"/>
      <c r="AK32" s="830">
        <v>0.34150000000000003</v>
      </c>
      <c r="AL32" s="830">
        <v>0.21195</v>
      </c>
      <c r="AM32" s="830">
        <v>0.21310000000000001</v>
      </c>
      <c r="AN32" s="830">
        <v>0.28775000000000001</v>
      </c>
      <c r="AO32" s="830">
        <v>0.20979999999999999</v>
      </c>
      <c r="AP32" s="830">
        <v>0.29899999999999999</v>
      </c>
      <c r="AQ32" s="831">
        <v>0.16789999999999999</v>
      </c>
      <c r="AR32" s="832">
        <v>0.31219999999999998</v>
      </c>
    </row>
    <row r="33" spans="1:46" ht="16.5" thickBot="1">
      <c r="A33" s="752" t="s">
        <v>344</v>
      </c>
      <c r="B33" s="738"/>
      <c r="C33" s="739"/>
      <c r="D33" s="786">
        <f>D30/D31/365</f>
        <v>89.847478147832817</v>
      </c>
      <c r="F33" s="737"/>
      <c r="G33" s="890"/>
      <c r="H33" s="739"/>
      <c r="I33" s="899">
        <f>I32</f>
        <v>133.84954581667606</v>
      </c>
      <c r="M33" s="737"/>
      <c r="N33" s="890"/>
      <c r="O33" s="739"/>
      <c r="P33" s="899">
        <f>P32</f>
        <v>182.7785107149744</v>
      </c>
      <c r="T33" s="747" t="s">
        <v>343</v>
      </c>
      <c r="U33" s="750"/>
      <c r="V33" s="905"/>
      <c r="W33" s="751">
        <v>10</v>
      </c>
      <c r="X33" s="697" t="s">
        <v>551</v>
      </c>
      <c r="AI33" s="833"/>
      <c r="AJ33" s="834"/>
      <c r="AK33" s="830"/>
      <c r="AL33" s="892"/>
      <c r="AM33" s="892"/>
      <c r="AN33" s="892"/>
      <c r="AO33" s="892"/>
      <c r="AP33" s="892"/>
      <c r="AQ33" s="893"/>
      <c r="AR33" s="894"/>
    </row>
    <row r="34" spans="1:46" ht="16.5" thickBot="1">
      <c r="A34" s="1090" t="s">
        <v>345</v>
      </c>
      <c r="B34" s="1167"/>
      <c r="C34" s="1168" t="s">
        <v>346</v>
      </c>
      <c r="D34" s="1169"/>
      <c r="F34" s="895" t="s">
        <v>345</v>
      </c>
      <c r="G34" s="901"/>
      <c r="H34" s="902" t="s">
        <v>346</v>
      </c>
      <c r="I34" s="903"/>
      <c r="M34" s="895" t="s">
        <v>345</v>
      </c>
      <c r="N34" s="901"/>
      <c r="O34" s="902" t="s">
        <v>346</v>
      </c>
      <c r="P34" s="903"/>
      <c r="T34" s="752" t="s">
        <v>344</v>
      </c>
      <c r="U34" s="738"/>
      <c r="V34" s="739"/>
      <c r="W34" s="896">
        <f>W32/W33/365</f>
        <v>165.19946980073047</v>
      </c>
      <c r="AI34" s="833"/>
      <c r="AJ34" s="834"/>
      <c r="AK34" s="830"/>
      <c r="AL34" s="892"/>
      <c r="AM34" s="892"/>
      <c r="AN34" s="892"/>
      <c r="AO34" s="892"/>
      <c r="AP34" s="892"/>
      <c r="AQ34" s="893"/>
      <c r="AR34" s="894"/>
    </row>
    <row r="35" spans="1:46" ht="17.25" customHeight="1" thickBot="1">
      <c r="A35" s="1163" t="s">
        <v>469</v>
      </c>
      <c r="B35" s="1164"/>
      <c r="C35" s="900" t="s">
        <v>528</v>
      </c>
      <c r="D35" s="924">
        <f>D33*365/1760</f>
        <v>18.633141774976693</v>
      </c>
      <c r="E35" s="921"/>
      <c r="F35" s="1170" t="s">
        <v>471</v>
      </c>
      <c r="G35" s="1171"/>
      <c r="H35" s="796" t="s">
        <v>347</v>
      </c>
      <c r="I35" s="797">
        <f>I33*365/1760</f>
        <v>27.758570581299299</v>
      </c>
      <c r="M35" s="1163" t="s">
        <v>471</v>
      </c>
      <c r="N35" s="1164"/>
      <c r="O35" s="796" t="s">
        <v>347</v>
      </c>
      <c r="P35" s="797">
        <f>P33*365/1760</f>
        <v>37.905770688048669</v>
      </c>
      <c r="T35" s="770"/>
      <c r="U35" s="891"/>
      <c r="V35" s="788"/>
      <c r="W35" s="789">
        <f>W34</f>
        <v>165.19946980073047</v>
      </c>
      <c r="AI35" s="906" t="s">
        <v>674</v>
      </c>
      <c r="AJ35" s="913">
        <f>'2023 FALL CAF'!CR29</f>
        <v>2.6565517099262824E-2</v>
      </c>
      <c r="AK35" s="771" t="s">
        <v>713</v>
      </c>
      <c r="AL35" s="772"/>
      <c r="AM35" s="773"/>
      <c r="AN35" s="897"/>
      <c r="AO35" s="897"/>
      <c r="AP35" s="897"/>
      <c r="AQ35" s="897"/>
      <c r="AR35" s="898"/>
    </row>
    <row r="36" spans="1:46" ht="24.6" customHeight="1">
      <c r="A36" s="1163"/>
      <c r="B36" s="1164"/>
      <c r="C36" s="900" t="s">
        <v>537</v>
      </c>
      <c r="D36" s="904">
        <f>D30/365/10</f>
        <v>89.847478147832831</v>
      </c>
      <c r="F36" s="1170"/>
      <c r="G36" s="1171"/>
      <c r="H36" s="796" t="s">
        <v>348</v>
      </c>
      <c r="I36" s="904">
        <f>I33</f>
        <v>133.84954581667606</v>
      </c>
      <c r="M36" s="1163"/>
      <c r="N36" s="1164"/>
      <c r="O36" s="900" t="s">
        <v>537</v>
      </c>
      <c r="P36" s="904">
        <f>P33</f>
        <v>182.7785107149744</v>
      </c>
      <c r="T36" s="895" t="s">
        <v>345</v>
      </c>
      <c r="U36" s="901"/>
      <c r="V36" s="902" t="s">
        <v>346</v>
      </c>
      <c r="W36" s="903"/>
    </row>
    <row r="37" spans="1:46" ht="28.5" customHeight="1">
      <c r="A37" s="1163"/>
      <c r="B37" s="1164"/>
      <c r="C37" s="796" t="s">
        <v>349</v>
      </c>
      <c r="D37" s="797">
        <f>D33*365/12</f>
        <v>2732.8607936632484</v>
      </c>
      <c r="F37" s="1170"/>
      <c r="G37" s="1171"/>
      <c r="H37" s="796" t="s">
        <v>349</v>
      </c>
      <c r="I37" s="797">
        <f>I33*365/12</f>
        <v>4071.2570185905638</v>
      </c>
      <c r="M37" s="1163"/>
      <c r="N37" s="1164"/>
      <c r="O37" s="796" t="s">
        <v>349</v>
      </c>
      <c r="P37" s="797">
        <f>P33*365/12</f>
        <v>5559.5130342471384</v>
      </c>
      <c r="T37" s="1163" t="s">
        <v>475</v>
      </c>
      <c r="U37" s="1164"/>
      <c r="V37" s="796" t="s">
        <v>347</v>
      </c>
      <c r="W37" s="797">
        <f>W35*365/1760</f>
        <v>34.260117316628758</v>
      </c>
    </row>
    <row r="38" spans="1:46" ht="27.6" customHeight="1">
      <c r="A38" s="1163"/>
      <c r="B38" s="1164"/>
      <c r="C38" s="796" t="s">
        <v>350</v>
      </c>
      <c r="D38" s="797">
        <f>D33*365/4</f>
        <v>8198.5823809897447</v>
      </c>
      <c r="F38" s="1170"/>
      <c r="G38" s="1171"/>
      <c r="H38" s="796" t="s">
        <v>350</v>
      </c>
      <c r="I38" s="797">
        <f>I33*365/4</f>
        <v>12213.771055771691</v>
      </c>
      <c r="M38" s="1163"/>
      <c r="N38" s="1164"/>
      <c r="O38" s="796" t="s">
        <v>350</v>
      </c>
      <c r="P38" s="797">
        <f>P33*365/4</f>
        <v>16678.539102741415</v>
      </c>
      <c r="T38" s="1163"/>
      <c r="U38" s="1164"/>
      <c r="V38" s="900" t="s">
        <v>537</v>
      </c>
      <c r="W38" s="904">
        <f>W35</f>
        <v>165.19946980073047</v>
      </c>
    </row>
    <row r="39" spans="1:46" s="743" customFormat="1" ht="15" customHeight="1">
      <c r="A39" s="1163"/>
      <c r="B39" s="1164"/>
      <c r="C39" s="796" t="s">
        <v>351</v>
      </c>
      <c r="D39" s="797">
        <f>D33*365/2</f>
        <v>16397.164761979489</v>
      </c>
      <c r="F39" s="1170"/>
      <c r="G39" s="1171"/>
      <c r="H39" s="796" t="s">
        <v>351</v>
      </c>
      <c r="I39" s="797">
        <f>I33*365/2</f>
        <v>24427.542111543382</v>
      </c>
      <c r="J39" s="697"/>
      <c r="K39" s="697"/>
      <c r="L39" s="697"/>
      <c r="M39" s="1163"/>
      <c r="N39" s="1164"/>
      <c r="O39" s="796" t="s">
        <v>351</v>
      </c>
      <c r="P39" s="797">
        <f>P33*365/2</f>
        <v>33357.078205482831</v>
      </c>
      <c r="Q39" s="697"/>
      <c r="R39" s="697"/>
      <c r="S39" s="697"/>
      <c r="T39" s="1163"/>
      <c r="U39" s="1164"/>
      <c r="V39" s="796" t="s">
        <v>349</v>
      </c>
      <c r="W39" s="797">
        <f>W35*365/12</f>
        <v>5024.8172064388846</v>
      </c>
      <c r="X39" s="697"/>
      <c r="Y39" s="697"/>
      <c r="Z39" s="697"/>
      <c r="AA39" s="697"/>
      <c r="AH39" s="697"/>
      <c r="AI39" s="697"/>
      <c r="AJ39" s="697"/>
      <c r="AK39" s="697"/>
      <c r="AL39" s="697"/>
      <c r="AM39" s="697"/>
      <c r="AN39" s="697"/>
      <c r="AO39" s="697"/>
      <c r="AP39" s="697"/>
      <c r="AQ39" s="697"/>
      <c r="AR39" s="697"/>
      <c r="AS39" s="697"/>
      <c r="AT39" s="697"/>
    </row>
    <row r="40" spans="1:46" ht="14.45" customHeight="1" thickBot="1">
      <c r="A40" s="1165"/>
      <c r="B40" s="1166"/>
      <c r="C40" s="810" t="s">
        <v>352</v>
      </c>
      <c r="D40" s="811">
        <f>D33*365</f>
        <v>32794.329523958979</v>
      </c>
      <c r="F40" s="1172"/>
      <c r="G40" s="1173"/>
      <c r="H40" s="810" t="s">
        <v>352</v>
      </c>
      <c r="I40" s="811">
        <f>I33*365</f>
        <v>48855.084223086764</v>
      </c>
      <c r="M40" s="1165"/>
      <c r="N40" s="1166"/>
      <c r="O40" s="810" t="s">
        <v>352</v>
      </c>
      <c r="P40" s="811">
        <f>P33*365</f>
        <v>66714.156410965661</v>
      </c>
      <c r="T40" s="1163"/>
      <c r="U40" s="1164"/>
      <c r="V40" s="796" t="s">
        <v>350</v>
      </c>
      <c r="W40" s="797">
        <f>W35*365/4</f>
        <v>15074.451619316655</v>
      </c>
      <c r="AT40" s="743"/>
    </row>
    <row r="41" spans="1:46" ht="23.1" customHeight="1">
      <c r="T41" s="1163"/>
      <c r="U41" s="1164"/>
      <c r="V41" s="796" t="s">
        <v>351</v>
      </c>
      <c r="W41" s="797">
        <f>W35*365/2</f>
        <v>30148.903238633309</v>
      </c>
      <c r="AI41" s="743"/>
      <c r="AJ41" s="743"/>
      <c r="AK41" s="743"/>
      <c r="AL41" s="743"/>
      <c r="AM41" s="743"/>
      <c r="AN41" s="743"/>
      <c r="AO41" s="743"/>
      <c r="AP41" s="743"/>
      <c r="AQ41" s="743"/>
      <c r="AR41" s="743"/>
      <c r="AS41" s="743"/>
    </row>
    <row r="42" spans="1:46" ht="16.5" thickBot="1">
      <c r="T42" s="1165"/>
      <c r="U42" s="1166"/>
      <c r="V42" s="810" t="s">
        <v>352</v>
      </c>
      <c r="W42" s="811">
        <f>W35*365</f>
        <v>60297.806477266618</v>
      </c>
    </row>
    <row r="44" spans="1:46">
      <c r="F44" s="697" t="s">
        <v>552</v>
      </c>
    </row>
    <row r="84" ht="14.1" customHeight="1"/>
    <row r="132" ht="14.45" customHeight="1"/>
    <row r="137" ht="15.6" customHeight="1"/>
  </sheetData>
  <mergeCells count="14">
    <mergeCell ref="AI16:AJ16"/>
    <mergeCell ref="F2:I2"/>
    <mergeCell ref="M2:P2"/>
    <mergeCell ref="T2:W2"/>
    <mergeCell ref="AI3:AR3"/>
    <mergeCell ref="AI4:AJ5"/>
    <mergeCell ref="AK4:AR4"/>
    <mergeCell ref="T37:U42"/>
    <mergeCell ref="A2:D2"/>
    <mergeCell ref="A34:B34"/>
    <mergeCell ref="C34:D34"/>
    <mergeCell ref="M35:N40"/>
    <mergeCell ref="A35:B40"/>
    <mergeCell ref="F35:G40"/>
  </mergeCells>
  <pageMargins left="0.7" right="0.7" top="0.75" bottom="0.75" header="0.3" footer="0.3"/>
  <pageSetup orientation="portrait" r:id="rId1"/>
  <ignoredErrors>
    <ignoredError sqref="B7:B8 C22 D29 I29 W31 P29 N8" formula="1"/>
    <ignoredError sqref="H4:H9" formulaRange="1"/>
  </ignoredError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ADEA1-7403-4CC0-B3DD-421F812D0AA7}">
  <sheetPr>
    <tabColor rgb="FF92D050"/>
    <pageSetUpPr fitToPage="1"/>
  </sheetPr>
  <dimension ref="B1:T36"/>
  <sheetViews>
    <sheetView topLeftCell="H1" zoomScaleNormal="100" workbookViewId="0">
      <selection activeCell="P16" sqref="P16"/>
    </sheetView>
  </sheetViews>
  <sheetFormatPr defaultRowHeight="15"/>
  <cols>
    <col min="1" max="1" width="0" style="1" hidden="1" customWidth="1"/>
    <col min="2" max="2" width="32" style="1" hidden="1" customWidth="1"/>
    <col min="3" max="3" width="9.140625" style="1" hidden="1" customWidth="1"/>
    <col min="4" max="4" width="12.85546875" style="1" hidden="1" customWidth="1"/>
    <col min="5" max="5" width="13.5703125" style="1" hidden="1" customWidth="1"/>
    <col min="6" max="6" width="15.42578125" style="1" hidden="1" customWidth="1"/>
    <col min="7" max="7" width="0" style="1" hidden="1" customWidth="1"/>
    <col min="8" max="8" width="3.140625" style="1" customWidth="1"/>
    <col min="9" max="9" width="24.5703125" style="1" customWidth="1"/>
    <col min="10" max="10" width="9.85546875" style="1" bestFit="1" customWidth="1"/>
    <col min="11" max="11" width="9.140625" style="1" customWidth="1"/>
    <col min="12" max="12" width="14.140625" style="1" customWidth="1"/>
    <col min="13" max="13" width="8.42578125" style="1" customWidth="1"/>
    <col min="14" max="14" width="24.42578125" style="1" customWidth="1"/>
    <col min="15" max="15" width="12.28515625" style="1" bestFit="1" customWidth="1"/>
    <col min="16" max="19" width="8.7109375" style="1"/>
    <col min="20" max="20" width="35.85546875" style="1" customWidth="1"/>
    <col min="21" max="256" width="8.7109375" style="1"/>
    <col min="257" max="257" width="32" style="1" customWidth="1"/>
    <col min="258" max="258" width="8.7109375" style="1"/>
    <col min="259" max="259" width="12.85546875" style="1" customWidth="1"/>
    <col min="260" max="260" width="13.5703125" style="1" customWidth="1"/>
    <col min="261" max="261" width="15.42578125" style="1" customWidth="1"/>
    <col min="262" max="512" width="8.7109375" style="1"/>
    <col min="513" max="513" width="32" style="1" customWidth="1"/>
    <col min="514" max="514" width="8.7109375" style="1"/>
    <col min="515" max="515" width="12.85546875" style="1" customWidth="1"/>
    <col min="516" max="516" width="13.5703125" style="1" customWidth="1"/>
    <col min="517" max="517" width="15.42578125" style="1" customWidth="1"/>
    <col min="518" max="768" width="8.7109375" style="1"/>
    <col min="769" max="769" width="32" style="1" customWidth="1"/>
    <col min="770" max="770" width="8.7109375" style="1"/>
    <col min="771" max="771" width="12.85546875" style="1" customWidth="1"/>
    <col min="772" max="772" width="13.5703125" style="1" customWidth="1"/>
    <col min="773" max="773" width="15.42578125" style="1" customWidth="1"/>
    <col min="774" max="1024" width="8.7109375" style="1"/>
    <col min="1025" max="1025" width="32" style="1" customWidth="1"/>
    <col min="1026" max="1026" width="8.7109375" style="1"/>
    <col min="1027" max="1027" width="12.85546875" style="1" customWidth="1"/>
    <col min="1028" max="1028" width="13.5703125" style="1" customWidth="1"/>
    <col min="1029" max="1029" width="15.42578125" style="1" customWidth="1"/>
    <col min="1030" max="1280" width="8.7109375" style="1"/>
    <col min="1281" max="1281" width="32" style="1" customWidth="1"/>
    <col min="1282" max="1282" width="8.7109375" style="1"/>
    <col min="1283" max="1283" width="12.85546875" style="1" customWidth="1"/>
    <col min="1284" max="1284" width="13.5703125" style="1" customWidth="1"/>
    <col min="1285" max="1285" width="15.42578125" style="1" customWidth="1"/>
    <col min="1286" max="1536" width="8.7109375" style="1"/>
    <col min="1537" max="1537" width="32" style="1" customWidth="1"/>
    <col min="1538" max="1538" width="8.7109375" style="1"/>
    <col min="1539" max="1539" width="12.85546875" style="1" customWidth="1"/>
    <col min="1540" max="1540" width="13.5703125" style="1" customWidth="1"/>
    <col min="1541" max="1541" width="15.42578125" style="1" customWidth="1"/>
    <col min="1542" max="1792" width="8.7109375" style="1"/>
    <col min="1793" max="1793" width="32" style="1" customWidth="1"/>
    <col min="1794" max="1794" width="8.7109375" style="1"/>
    <col min="1795" max="1795" width="12.85546875" style="1" customWidth="1"/>
    <col min="1796" max="1796" width="13.5703125" style="1" customWidth="1"/>
    <col min="1797" max="1797" width="15.42578125" style="1" customWidth="1"/>
    <col min="1798" max="2048" width="8.7109375" style="1"/>
    <col min="2049" max="2049" width="32" style="1" customWidth="1"/>
    <col min="2050" max="2050" width="8.7109375" style="1"/>
    <col min="2051" max="2051" width="12.85546875" style="1" customWidth="1"/>
    <col min="2052" max="2052" width="13.5703125" style="1" customWidth="1"/>
    <col min="2053" max="2053" width="15.42578125" style="1" customWidth="1"/>
    <col min="2054" max="2304" width="8.7109375" style="1"/>
    <col min="2305" max="2305" width="32" style="1" customWidth="1"/>
    <col min="2306" max="2306" width="8.7109375" style="1"/>
    <col min="2307" max="2307" width="12.85546875" style="1" customWidth="1"/>
    <col min="2308" max="2308" width="13.5703125" style="1" customWidth="1"/>
    <col min="2309" max="2309" width="15.42578125" style="1" customWidth="1"/>
    <col min="2310" max="2560" width="8.7109375" style="1"/>
    <col min="2561" max="2561" width="32" style="1" customWidth="1"/>
    <col min="2562" max="2562" width="8.7109375" style="1"/>
    <col min="2563" max="2563" width="12.85546875" style="1" customWidth="1"/>
    <col min="2564" max="2564" width="13.5703125" style="1" customWidth="1"/>
    <col min="2565" max="2565" width="15.42578125" style="1" customWidth="1"/>
    <col min="2566" max="2816" width="8.7109375" style="1"/>
    <col min="2817" max="2817" width="32" style="1" customWidth="1"/>
    <col min="2818" max="2818" width="8.7109375" style="1"/>
    <col min="2819" max="2819" width="12.85546875" style="1" customWidth="1"/>
    <col min="2820" max="2820" width="13.5703125" style="1" customWidth="1"/>
    <col min="2821" max="2821" width="15.42578125" style="1" customWidth="1"/>
    <col min="2822" max="3072" width="8.7109375" style="1"/>
    <col min="3073" max="3073" width="32" style="1" customWidth="1"/>
    <col min="3074" max="3074" width="8.7109375" style="1"/>
    <col min="3075" max="3075" width="12.85546875" style="1" customWidth="1"/>
    <col min="3076" max="3076" width="13.5703125" style="1" customWidth="1"/>
    <col min="3077" max="3077" width="15.42578125" style="1" customWidth="1"/>
    <col min="3078" max="3328" width="8.7109375" style="1"/>
    <col min="3329" max="3329" width="32" style="1" customWidth="1"/>
    <col min="3330" max="3330" width="8.7109375" style="1"/>
    <col min="3331" max="3331" width="12.85546875" style="1" customWidth="1"/>
    <col min="3332" max="3332" width="13.5703125" style="1" customWidth="1"/>
    <col min="3333" max="3333" width="15.42578125" style="1" customWidth="1"/>
    <col min="3334" max="3584" width="8.7109375" style="1"/>
    <col min="3585" max="3585" width="32" style="1" customWidth="1"/>
    <col min="3586" max="3586" width="8.7109375" style="1"/>
    <col min="3587" max="3587" width="12.85546875" style="1" customWidth="1"/>
    <col min="3588" max="3588" width="13.5703125" style="1" customWidth="1"/>
    <col min="3589" max="3589" width="15.42578125" style="1" customWidth="1"/>
    <col min="3590" max="3840" width="8.7109375" style="1"/>
    <col min="3841" max="3841" width="32" style="1" customWidth="1"/>
    <col min="3842" max="3842" width="8.7109375" style="1"/>
    <col min="3843" max="3843" width="12.85546875" style="1" customWidth="1"/>
    <col min="3844" max="3844" width="13.5703125" style="1" customWidth="1"/>
    <col min="3845" max="3845" width="15.42578125" style="1" customWidth="1"/>
    <col min="3846" max="4096" width="8.7109375" style="1"/>
    <col min="4097" max="4097" width="32" style="1" customWidth="1"/>
    <col min="4098" max="4098" width="8.7109375" style="1"/>
    <col min="4099" max="4099" width="12.85546875" style="1" customWidth="1"/>
    <col min="4100" max="4100" width="13.5703125" style="1" customWidth="1"/>
    <col min="4101" max="4101" width="15.42578125" style="1" customWidth="1"/>
    <col min="4102" max="4352" width="8.7109375" style="1"/>
    <col min="4353" max="4353" width="32" style="1" customWidth="1"/>
    <col min="4354" max="4354" width="8.7109375" style="1"/>
    <col min="4355" max="4355" width="12.85546875" style="1" customWidth="1"/>
    <col min="4356" max="4356" width="13.5703125" style="1" customWidth="1"/>
    <col min="4357" max="4357" width="15.42578125" style="1" customWidth="1"/>
    <col min="4358" max="4608" width="8.7109375" style="1"/>
    <col min="4609" max="4609" width="32" style="1" customWidth="1"/>
    <col min="4610" max="4610" width="8.7109375" style="1"/>
    <col min="4611" max="4611" width="12.85546875" style="1" customWidth="1"/>
    <col min="4612" max="4612" width="13.5703125" style="1" customWidth="1"/>
    <col min="4613" max="4613" width="15.42578125" style="1" customWidth="1"/>
    <col min="4614" max="4864" width="8.7109375" style="1"/>
    <col min="4865" max="4865" width="32" style="1" customWidth="1"/>
    <col min="4866" max="4866" width="8.7109375" style="1"/>
    <col min="4867" max="4867" width="12.85546875" style="1" customWidth="1"/>
    <col min="4868" max="4868" width="13.5703125" style="1" customWidth="1"/>
    <col min="4869" max="4869" width="15.42578125" style="1" customWidth="1"/>
    <col min="4870" max="5120" width="8.7109375" style="1"/>
    <col min="5121" max="5121" width="32" style="1" customWidth="1"/>
    <col min="5122" max="5122" width="8.7109375" style="1"/>
    <col min="5123" max="5123" width="12.85546875" style="1" customWidth="1"/>
    <col min="5124" max="5124" width="13.5703125" style="1" customWidth="1"/>
    <col min="5125" max="5125" width="15.42578125" style="1" customWidth="1"/>
    <col min="5126" max="5376" width="8.7109375" style="1"/>
    <col min="5377" max="5377" width="32" style="1" customWidth="1"/>
    <col min="5378" max="5378" width="8.7109375" style="1"/>
    <col min="5379" max="5379" width="12.85546875" style="1" customWidth="1"/>
    <col min="5380" max="5380" width="13.5703125" style="1" customWidth="1"/>
    <col min="5381" max="5381" width="15.42578125" style="1" customWidth="1"/>
    <col min="5382" max="5632" width="8.7109375" style="1"/>
    <col min="5633" max="5633" width="32" style="1" customWidth="1"/>
    <col min="5634" max="5634" width="8.7109375" style="1"/>
    <col min="5635" max="5635" width="12.85546875" style="1" customWidth="1"/>
    <col min="5636" max="5636" width="13.5703125" style="1" customWidth="1"/>
    <col min="5637" max="5637" width="15.42578125" style="1" customWidth="1"/>
    <col min="5638" max="5888" width="8.7109375" style="1"/>
    <col min="5889" max="5889" width="32" style="1" customWidth="1"/>
    <col min="5890" max="5890" width="8.7109375" style="1"/>
    <col min="5891" max="5891" width="12.85546875" style="1" customWidth="1"/>
    <col min="5892" max="5892" width="13.5703125" style="1" customWidth="1"/>
    <col min="5893" max="5893" width="15.42578125" style="1" customWidth="1"/>
    <col min="5894" max="6144" width="8.7109375" style="1"/>
    <col min="6145" max="6145" width="32" style="1" customWidth="1"/>
    <col min="6146" max="6146" width="8.7109375" style="1"/>
    <col min="6147" max="6147" width="12.85546875" style="1" customWidth="1"/>
    <col min="6148" max="6148" width="13.5703125" style="1" customWidth="1"/>
    <col min="6149" max="6149" width="15.42578125" style="1" customWidth="1"/>
    <col min="6150" max="6400" width="8.7109375" style="1"/>
    <col min="6401" max="6401" width="32" style="1" customWidth="1"/>
    <col min="6402" max="6402" width="8.7109375" style="1"/>
    <col min="6403" max="6403" width="12.85546875" style="1" customWidth="1"/>
    <col min="6404" max="6404" width="13.5703125" style="1" customWidth="1"/>
    <col min="6405" max="6405" width="15.42578125" style="1" customWidth="1"/>
    <col min="6406" max="6656" width="8.7109375" style="1"/>
    <col min="6657" max="6657" width="32" style="1" customWidth="1"/>
    <col min="6658" max="6658" width="8.7109375" style="1"/>
    <col min="6659" max="6659" width="12.85546875" style="1" customWidth="1"/>
    <col min="6660" max="6660" width="13.5703125" style="1" customWidth="1"/>
    <col min="6661" max="6661" width="15.42578125" style="1" customWidth="1"/>
    <col min="6662" max="6912" width="8.7109375" style="1"/>
    <col min="6913" max="6913" width="32" style="1" customWidth="1"/>
    <col min="6914" max="6914" width="8.7109375" style="1"/>
    <col min="6915" max="6915" width="12.85546875" style="1" customWidth="1"/>
    <col min="6916" max="6916" width="13.5703125" style="1" customWidth="1"/>
    <col min="6917" max="6917" width="15.42578125" style="1" customWidth="1"/>
    <col min="6918" max="7168" width="8.7109375" style="1"/>
    <col min="7169" max="7169" width="32" style="1" customWidth="1"/>
    <col min="7170" max="7170" width="8.7109375" style="1"/>
    <col min="7171" max="7171" width="12.85546875" style="1" customWidth="1"/>
    <col min="7172" max="7172" width="13.5703125" style="1" customWidth="1"/>
    <col min="7173" max="7173" width="15.42578125" style="1" customWidth="1"/>
    <col min="7174" max="7424" width="8.7109375" style="1"/>
    <col min="7425" max="7425" width="32" style="1" customWidth="1"/>
    <col min="7426" max="7426" width="8.7109375" style="1"/>
    <col min="7427" max="7427" width="12.85546875" style="1" customWidth="1"/>
    <col min="7428" max="7428" width="13.5703125" style="1" customWidth="1"/>
    <col min="7429" max="7429" width="15.42578125" style="1" customWidth="1"/>
    <col min="7430" max="7680" width="8.7109375" style="1"/>
    <col min="7681" max="7681" width="32" style="1" customWidth="1"/>
    <col min="7682" max="7682" width="8.7109375" style="1"/>
    <col min="7683" max="7683" width="12.85546875" style="1" customWidth="1"/>
    <col min="7684" max="7684" width="13.5703125" style="1" customWidth="1"/>
    <col min="7685" max="7685" width="15.42578125" style="1" customWidth="1"/>
    <col min="7686" max="7936" width="8.7109375" style="1"/>
    <col min="7937" max="7937" width="32" style="1" customWidth="1"/>
    <col min="7938" max="7938" width="8.7109375" style="1"/>
    <col min="7939" max="7939" width="12.85546875" style="1" customWidth="1"/>
    <col min="7940" max="7940" width="13.5703125" style="1" customWidth="1"/>
    <col min="7941" max="7941" width="15.42578125" style="1" customWidth="1"/>
    <col min="7942" max="8192" width="8.7109375" style="1"/>
    <col min="8193" max="8193" width="32" style="1" customWidth="1"/>
    <col min="8194" max="8194" width="8.7109375" style="1"/>
    <col min="8195" max="8195" width="12.85546875" style="1" customWidth="1"/>
    <col min="8196" max="8196" width="13.5703125" style="1" customWidth="1"/>
    <col min="8197" max="8197" width="15.42578125" style="1" customWidth="1"/>
    <col min="8198" max="8448" width="8.7109375" style="1"/>
    <col min="8449" max="8449" width="32" style="1" customWidth="1"/>
    <col min="8450" max="8450" width="8.7109375" style="1"/>
    <col min="8451" max="8451" width="12.85546875" style="1" customWidth="1"/>
    <col min="8452" max="8452" width="13.5703125" style="1" customWidth="1"/>
    <col min="8453" max="8453" width="15.42578125" style="1" customWidth="1"/>
    <col min="8454" max="8704" width="8.7109375" style="1"/>
    <col min="8705" max="8705" width="32" style="1" customWidth="1"/>
    <col min="8706" max="8706" width="8.7109375" style="1"/>
    <col min="8707" max="8707" width="12.85546875" style="1" customWidth="1"/>
    <col min="8708" max="8708" width="13.5703125" style="1" customWidth="1"/>
    <col min="8709" max="8709" width="15.42578125" style="1" customWidth="1"/>
    <col min="8710" max="8960" width="8.7109375" style="1"/>
    <col min="8961" max="8961" width="32" style="1" customWidth="1"/>
    <col min="8962" max="8962" width="8.7109375" style="1"/>
    <col min="8963" max="8963" width="12.85546875" style="1" customWidth="1"/>
    <col min="8964" max="8964" width="13.5703125" style="1" customWidth="1"/>
    <col min="8965" max="8965" width="15.42578125" style="1" customWidth="1"/>
    <col min="8966" max="9216" width="8.7109375" style="1"/>
    <col min="9217" max="9217" width="32" style="1" customWidth="1"/>
    <col min="9218" max="9218" width="8.7109375" style="1"/>
    <col min="9219" max="9219" width="12.85546875" style="1" customWidth="1"/>
    <col min="9220" max="9220" width="13.5703125" style="1" customWidth="1"/>
    <col min="9221" max="9221" width="15.42578125" style="1" customWidth="1"/>
    <col min="9222" max="9472" width="8.7109375" style="1"/>
    <col min="9473" max="9473" width="32" style="1" customWidth="1"/>
    <col min="9474" max="9474" width="8.7109375" style="1"/>
    <col min="9475" max="9475" width="12.85546875" style="1" customWidth="1"/>
    <col min="9476" max="9476" width="13.5703125" style="1" customWidth="1"/>
    <col min="9477" max="9477" width="15.42578125" style="1" customWidth="1"/>
    <col min="9478" max="9728" width="8.7109375" style="1"/>
    <col min="9729" max="9729" width="32" style="1" customWidth="1"/>
    <col min="9730" max="9730" width="8.7109375" style="1"/>
    <col min="9731" max="9731" width="12.85546875" style="1" customWidth="1"/>
    <col min="9732" max="9732" width="13.5703125" style="1" customWidth="1"/>
    <col min="9733" max="9733" width="15.42578125" style="1" customWidth="1"/>
    <col min="9734" max="9984" width="8.7109375" style="1"/>
    <col min="9985" max="9985" width="32" style="1" customWidth="1"/>
    <col min="9986" max="9986" width="8.7109375" style="1"/>
    <col min="9987" max="9987" width="12.85546875" style="1" customWidth="1"/>
    <col min="9988" max="9988" width="13.5703125" style="1" customWidth="1"/>
    <col min="9989" max="9989" width="15.42578125" style="1" customWidth="1"/>
    <col min="9990" max="10240" width="8.7109375" style="1"/>
    <col min="10241" max="10241" width="32" style="1" customWidth="1"/>
    <col min="10242" max="10242" width="8.7109375" style="1"/>
    <col min="10243" max="10243" width="12.85546875" style="1" customWidth="1"/>
    <col min="10244" max="10244" width="13.5703125" style="1" customWidth="1"/>
    <col min="10245" max="10245" width="15.42578125" style="1" customWidth="1"/>
    <col min="10246" max="10496" width="8.7109375" style="1"/>
    <col min="10497" max="10497" width="32" style="1" customWidth="1"/>
    <col min="10498" max="10498" width="8.7109375" style="1"/>
    <col min="10499" max="10499" width="12.85546875" style="1" customWidth="1"/>
    <col min="10500" max="10500" width="13.5703125" style="1" customWidth="1"/>
    <col min="10501" max="10501" width="15.42578125" style="1" customWidth="1"/>
    <col min="10502" max="10752" width="8.7109375" style="1"/>
    <col min="10753" max="10753" width="32" style="1" customWidth="1"/>
    <col min="10754" max="10754" width="8.7109375" style="1"/>
    <col min="10755" max="10755" width="12.85546875" style="1" customWidth="1"/>
    <col min="10756" max="10756" width="13.5703125" style="1" customWidth="1"/>
    <col min="10757" max="10757" width="15.42578125" style="1" customWidth="1"/>
    <col min="10758" max="11008" width="8.7109375" style="1"/>
    <col min="11009" max="11009" width="32" style="1" customWidth="1"/>
    <col min="11010" max="11010" width="8.7109375" style="1"/>
    <col min="11011" max="11011" width="12.85546875" style="1" customWidth="1"/>
    <col min="11012" max="11012" width="13.5703125" style="1" customWidth="1"/>
    <col min="11013" max="11013" width="15.42578125" style="1" customWidth="1"/>
    <col min="11014" max="11264" width="8.7109375" style="1"/>
    <col min="11265" max="11265" width="32" style="1" customWidth="1"/>
    <col min="11266" max="11266" width="8.7109375" style="1"/>
    <col min="11267" max="11267" width="12.85546875" style="1" customWidth="1"/>
    <col min="11268" max="11268" width="13.5703125" style="1" customWidth="1"/>
    <col min="11269" max="11269" width="15.42578125" style="1" customWidth="1"/>
    <col min="11270" max="11520" width="8.7109375" style="1"/>
    <col min="11521" max="11521" width="32" style="1" customWidth="1"/>
    <col min="11522" max="11522" width="8.7109375" style="1"/>
    <col min="11523" max="11523" width="12.85546875" style="1" customWidth="1"/>
    <col min="11524" max="11524" width="13.5703125" style="1" customWidth="1"/>
    <col min="11525" max="11525" width="15.42578125" style="1" customWidth="1"/>
    <col min="11526" max="11776" width="8.7109375" style="1"/>
    <col min="11777" max="11777" width="32" style="1" customWidth="1"/>
    <col min="11778" max="11778" width="8.7109375" style="1"/>
    <col min="11779" max="11779" width="12.85546875" style="1" customWidth="1"/>
    <col min="11780" max="11780" width="13.5703125" style="1" customWidth="1"/>
    <col min="11781" max="11781" width="15.42578125" style="1" customWidth="1"/>
    <col min="11782" max="12032" width="8.7109375" style="1"/>
    <col min="12033" max="12033" width="32" style="1" customWidth="1"/>
    <col min="12034" max="12034" width="8.7109375" style="1"/>
    <col min="12035" max="12035" width="12.85546875" style="1" customWidth="1"/>
    <col min="12036" max="12036" width="13.5703125" style="1" customWidth="1"/>
    <col min="12037" max="12037" width="15.42578125" style="1" customWidth="1"/>
    <col min="12038" max="12288" width="8.7109375" style="1"/>
    <col min="12289" max="12289" width="32" style="1" customWidth="1"/>
    <col min="12290" max="12290" width="8.7109375" style="1"/>
    <col min="12291" max="12291" width="12.85546875" style="1" customWidth="1"/>
    <col min="12292" max="12292" width="13.5703125" style="1" customWidth="1"/>
    <col min="12293" max="12293" width="15.42578125" style="1" customWidth="1"/>
    <col min="12294" max="12544" width="8.7109375" style="1"/>
    <col min="12545" max="12545" width="32" style="1" customWidth="1"/>
    <col min="12546" max="12546" width="8.7109375" style="1"/>
    <col min="12547" max="12547" width="12.85546875" style="1" customWidth="1"/>
    <col min="12548" max="12548" width="13.5703125" style="1" customWidth="1"/>
    <col min="12549" max="12549" width="15.42578125" style="1" customWidth="1"/>
    <col min="12550" max="12800" width="8.7109375" style="1"/>
    <col min="12801" max="12801" width="32" style="1" customWidth="1"/>
    <col min="12802" max="12802" width="8.7109375" style="1"/>
    <col min="12803" max="12803" width="12.85546875" style="1" customWidth="1"/>
    <col min="12804" max="12804" width="13.5703125" style="1" customWidth="1"/>
    <col min="12805" max="12805" width="15.42578125" style="1" customWidth="1"/>
    <col min="12806" max="13056" width="8.7109375" style="1"/>
    <col min="13057" max="13057" width="32" style="1" customWidth="1"/>
    <col min="13058" max="13058" width="8.7109375" style="1"/>
    <col min="13059" max="13059" width="12.85546875" style="1" customWidth="1"/>
    <col min="13060" max="13060" width="13.5703125" style="1" customWidth="1"/>
    <col min="13061" max="13061" width="15.42578125" style="1" customWidth="1"/>
    <col min="13062" max="13312" width="8.7109375" style="1"/>
    <col min="13313" max="13313" width="32" style="1" customWidth="1"/>
    <col min="13314" max="13314" width="8.7109375" style="1"/>
    <col min="13315" max="13315" width="12.85546875" style="1" customWidth="1"/>
    <col min="13316" max="13316" width="13.5703125" style="1" customWidth="1"/>
    <col min="13317" max="13317" width="15.42578125" style="1" customWidth="1"/>
    <col min="13318" max="13568" width="8.7109375" style="1"/>
    <col min="13569" max="13569" width="32" style="1" customWidth="1"/>
    <col min="13570" max="13570" width="8.7109375" style="1"/>
    <col min="13571" max="13571" width="12.85546875" style="1" customWidth="1"/>
    <col min="13572" max="13572" width="13.5703125" style="1" customWidth="1"/>
    <col min="13573" max="13573" width="15.42578125" style="1" customWidth="1"/>
    <col min="13574" max="13824" width="8.7109375" style="1"/>
    <col min="13825" max="13825" width="32" style="1" customWidth="1"/>
    <col min="13826" max="13826" width="8.7109375" style="1"/>
    <col min="13827" max="13827" width="12.85546875" style="1" customWidth="1"/>
    <col min="13828" max="13828" width="13.5703125" style="1" customWidth="1"/>
    <col min="13829" max="13829" width="15.42578125" style="1" customWidth="1"/>
    <col min="13830" max="14080" width="8.7109375" style="1"/>
    <col min="14081" max="14081" width="32" style="1" customWidth="1"/>
    <col min="14082" max="14082" width="8.7109375" style="1"/>
    <col min="14083" max="14083" width="12.85546875" style="1" customWidth="1"/>
    <col min="14084" max="14084" width="13.5703125" style="1" customWidth="1"/>
    <col min="14085" max="14085" width="15.42578125" style="1" customWidth="1"/>
    <col min="14086" max="14336" width="8.7109375" style="1"/>
    <col min="14337" max="14337" width="32" style="1" customWidth="1"/>
    <col min="14338" max="14338" width="8.7109375" style="1"/>
    <col min="14339" max="14339" width="12.85546875" style="1" customWidth="1"/>
    <col min="14340" max="14340" width="13.5703125" style="1" customWidth="1"/>
    <col min="14341" max="14341" width="15.42578125" style="1" customWidth="1"/>
    <col min="14342" max="14592" width="8.7109375" style="1"/>
    <col min="14593" max="14593" width="32" style="1" customWidth="1"/>
    <col min="14594" max="14594" width="8.7109375" style="1"/>
    <col min="14595" max="14595" width="12.85546875" style="1" customWidth="1"/>
    <col min="14596" max="14596" width="13.5703125" style="1" customWidth="1"/>
    <col min="14597" max="14597" width="15.42578125" style="1" customWidth="1"/>
    <col min="14598" max="14848" width="8.7109375" style="1"/>
    <col min="14849" max="14849" width="32" style="1" customWidth="1"/>
    <col min="14850" max="14850" width="8.7109375" style="1"/>
    <col min="14851" max="14851" width="12.85546875" style="1" customWidth="1"/>
    <col min="14852" max="14852" width="13.5703125" style="1" customWidth="1"/>
    <col min="14853" max="14853" width="15.42578125" style="1" customWidth="1"/>
    <col min="14854" max="15104" width="8.7109375" style="1"/>
    <col min="15105" max="15105" width="32" style="1" customWidth="1"/>
    <col min="15106" max="15106" width="8.7109375" style="1"/>
    <col min="15107" max="15107" width="12.85546875" style="1" customWidth="1"/>
    <col min="15108" max="15108" width="13.5703125" style="1" customWidth="1"/>
    <col min="15109" max="15109" width="15.42578125" style="1" customWidth="1"/>
    <col min="15110" max="15360" width="8.7109375" style="1"/>
    <col min="15361" max="15361" width="32" style="1" customWidth="1"/>
    <col min="15362" max="15362" width="8.7109375" style="1"/>
    <col min="15363" max="15363" width="12.85546875" style="1" customWidth="1"/>
    <col min="15364" max="15364" width="13.5703125" style="1" customWidth="1"/>
    <col min="15365" max="15365" width="15.42578125" style="1" customWidth="1"/>
    <col min="15366" max="15616" width="8.7109375" style="1"/>
    <col min="15617" max="15617" width="32" style="1" customWidth="1"/>
    <col min="15618" max="15618" width="8.7109375" style="1"/>
    <col min="15619" max="15619" width="12.85546875" style="1" customWidth="1"/>
    <col min="15620" max="15620" width="13.5703125" style="1" customWidth="1"/>
    <col min="15621" max="15621" width="15.42578125" style="1" customWidth="1"/>
    <col min="15622" max="15872" width="8.7109375" style="1"/>
    <col min="15873" max="15873" width="32" style="1" customWidth="1"/>
    <col min="15874" max="15874" width="8.7109375" style="1"/>
    <col min="15875" max="15875" width="12.85546875" style="1" customWidth="1"/>
    <col min="15876" max="15876" width="13.5703125" style="1" customWidth="1"/>
    <col min="15877" max="15877" width="15.42578125" style="1" customWidth="1"/>
    <col min="15878" max="16128" width="8.7109375" style="1"/>
    <col min="16129" max="16129" width="32" style="1" customWidth="1"/>
    <col min="16130" max="16130" width="8.7109375" style="1"/>
    <col min="16131" max="16131" width="12.85546875" style="1" customWidth="1"/>
    <col min="16132" max="16132" width="13.5703125" style="1" customWidth="1"/>
    <col min="16133" max="16133" width="15.42578125" style="1" customWidth="1"/>
    <col min="16134" max="16384" width="8.7109375" style="1"/>
  </cols>
  <sheetData>
    <row r="1" spans="2:20">
      <c r="B1" s="146" t="s">
        <v>353</v>
      </c>
      <c r="C1" s="147"/>
      <c r="D1" s="148"/>
      <c r="E1" s="148"/>
      <c r="F1" s="149"/>
    </row>
    <row r="2" spans="2:20" ht="15.75" thickBot="1">
      <c r="B2" s="150" t="s">
        <v>354</v>
      </c>
      <c r="C2" s="25"/>
      <c r="D2" s="25"/>
      <c r="E2" s="25"/>
      <c r="F2" s="151"/>
    </row>
    <row r="3" spans="2:20" ht="15.75" thickBot="1">
      <c r="B3" s="150"/>
      <c r="C3" s="25"/>
      <c r="D3" s="25"/>
      <c r="E3" s="25"/>
      <c r="F3" s="151"/>
      <c r="H3" s="27"/>
      <c r="I3" s="1188" t="s">
        <v>508</v>
      </c>
      <c r="J3" s="1189"/>
      <c r="K3" s="1189"/>
      <c r="L3" s="1190"/>
      <c r="M3" s="27"/>
      <c r="N3" s="27"/>
      <c r="O3" s="27"/>
      <c r="P3" s="27"/>
      <c r="Q3" s="27"/>
      <c r="R3" s="27"/>
      <c r="S3" s="27"/>
      <c r="T3" s="27"/>
    </row>
    <row r="4" spans="2:20" ht="15.75" thickBot="1">
      <c r="B4" s="28" t="s">
        <v>355</v>
      </c>
      <c r="C4" s="29"/>
      <c r="D4" s="29"/>
      <c r="E4" s="29"/>
      <c r="F4" s="30"/>
      <c r="H4" s="27"/>
      <c r="I4" s="1191" t="s">
        <v>355</v>
      </c>
      <c r="J4" s="1192"/>
      <c r="K4" s="1192"/>
      <c r="L4" s="153">
        <v>11</v>
      </c>
      <c r="M4" s="27"/>
      <c r="N4" s="1159" t="s">
        <v>356</v>
      </c>
      <c r="O4" s="1160"/>
      <c r="P4" s="1160"/>
      <c r="Q4" s="1160"/>
      <c r="R4" s="1160"/>
      <c r="S4" s="1160"/>
      <c r="T4" s="1161"/>
    </row>
    <row r="5" spans="2:20" ht="15.75" thickBot="1">
      <c r="B5" s="35"/>
      <c r="C5" s="36"/>
      <c r="D5" s="36"/>
      <c r="E5" s="36"/>
      <c r="F5" s="37"/>
      <c r="H5" s="27"/>
      <c r="I5" s="109"/>
      <c r="J5" s="27"/>
      <c r="K5" s="27"/>
      <c r="L5" s="73"/>
      <c r="M5" s="27"/>
      <c r="N5" s="1185" t="s">
        <v>357</v>
      </c>
      <c r="O5" s="1186"/>
      <c r="P5" s="1186"/>
      <c r="Q5" s="1186"/>
      <c r="R5" s="1186"/>
      <c r="S5" s="1186"/>
      <c r="T5" s="1187"/>
    </row>
    <row r="6" spans="2:20" ht="15.75">
      <c r="B6" s="35"/>
      <c r="C6" s="36"/>
      <c r="D6" s="39" t="s">
        <v>299</v>
      </c>
      <c r="E6" s="39" t="s">
        <v>300</v>
      </c>
      <c r="F6" s="40" t="s">
        <v>301</v>
      </c>
      <c r="H6" s="27"/>
      <c r="I6" s="110"/>
      <c r="J6" s="105" t="s">
        <v>299</v>
      </c>
      <c r="K6" s="105" t="s">
        <v>300</v>
      </c>
      <c r="L6" s="154" t="s">
        <v>301</v>
      </c>
      <c r="M6" s="27"/>
      <c r="N6" s="716" t="str">
        <f>B7</f>
        <v xml:space="preserve">Management </v>
      </c>
      <c r="O6" s="758">
        <f>'M2022 BLS SALARY CHART (53_PCT)'!C22</f>
        <v>79415.232000000018</v>
      </c>
      <c r="P6" s="749" t="s">
        <v>723</v>
      </c>
      <c r="Q6" s="27"/>
      <c r="R6" s="27"/>
      <c r="S6" s="27"/>
      <c r="T6" s="73"/>
    </row>
    <row r="7" spans="2:20" ht="15.75">
      <c r="B7" s="35" t="s">
        <v>359</v>
      </c>
      <c r="C7" s="36"/>
      <c r="D7" s="155">
        <v>52564</v>
      </c>
      <c r="E7" s="156">
        <v>0.01</v>
      </c>
      <c r="F7" s="47">
        <v>525.64</v>
      </c>
      <c r="H7" s="27"/>
      <c r="I7" s="710" t="s">
        <v>359</v>
      </c>
      <c r="J7" s="711">
        <f>O6</f>
        <v>79415.232000000018</v>
      </c>
      <c r="K7" s="712">
        <v>0.01</v>
      </c>
      <c r="L7" s="713">
        <f>J7*K7</f>
        <v>794.15232000000015</v>
      </c>
      <c r="M7" s="27"/>
      <c r="N7" s="718" t="s">
        <v>360</v>
      </c>
      <c r="O7" s="758">
        <f>'M2022 BLS SALARY CHART (53_PCT)'!C14</f>
        <v>64330.864000000001</v>
      </c>
      <c r="P7" s="749" t="s">
        <v>723</v>
      </c>
      <c r="Q7" s="27"/>
      <c r="R7" s="27"/>
      <c r="S7" s="27"/>
      <c r="T7" s="73"/>
    </row>
    <row r="8" spans="2:20" ht="16.5" thickBot="1">
      <c r="B8" s="35" t="s">
        <v>524</v>
      </c>
      <c r="C8" s="36"/>
      <c r="D8" s="158">
        <v>47000</v>
      </c>
      <c r="E8" s="156">
        <v>0.15</v>
      </c>
      <c r="F8" s="159">
        <v>7050</v>
      </c>
      <c r="H8" s="27"/>
      <c r="I8" s="710" t="s">
        <v>360</v>
      </c>
      <c r="J8" s="711">
        <f>O7</f>
        <v>64330.864000000001</v>
      </c>
      <c r="K8" s="712">
        <v>3.5000000000000003E-2</v>
      </c>
      <c r="L8" s="713">
        <f>J8*K8</f>
        <v>2251.5802400000002</v>
      </c>
      <c r="M8" s="27"/>
      <c r="N8" s="718" t="str">
        <f>B8</f>
        <v>Direct care III</v>
      </c>
      <c r="O8" s="758">
        <f>'M2022 BLS SALARY CHART (53_PCT)'!C8</f>
        <v>53206.566400000003</v>
      </c>
      <c r="P8" s="749" t="s">
        <v>723</v>
      </c>
      <c r="Q8" s="27"/>
      <c r="R8" s="27"/>
      <c r="S8" s="27"/>
      <c r="T8" s="73"/>
    </row>
    <row r="9" spans="2:20" ht="16.5" thickBot="1">
      <c r="B9" s="53" t="s">
        <v>364</v>
      </c>
      <c r="C9" s="54"/>
      <c r="D9" s="54"/>
      <c r="E9" s="55">
        <v>0.2</v>
      </c>
      <c r="F9" s="75">
        <v>7575.64</v>
      </c>
      <c r="H9" s="27"/>
      <c r="I9" s="710" t="s">
        <v>458</v>
      </c>
      <c r="J9" s="711">
        <f>O8</f>
        <v>53206.566400000003</v>
      </c>
      <c r="K9" s="712">
        <v>0.2</v>
      </c>
      <c r="L9" s="713">
        <f>J9*K9</f>
        <v>10641.313280000002</v>
      </c>
      <c r="M9" s="27"/>
      <c r="N9" s="1185" t="s">
        <v>325</v>
      </c>
      <c r="O9" s="1186"/>
      <c r="P9" s="1186"/>
      <c r="Q9" s="1186"/>
      <c r="R9" s="1186"/>
      <c r="S9" s="1186"/>
      <c r="T9" s="1187"/>
    </row>
    <row r="10" spans="2:20" ht="21.95" customHeight="1">
      <c r="B10" s="35"/>
      <c r="C10" s="36"/>
      <c r="D10" s="36"/>
      <c r="E10" s="36"/>
      <c r="F10" s="37"/>
      <c r="H10" s="27"/>
      <c r="I10" s="116" t="s">
        <v>364</v>
      </c>
      <c r="J10" s="85"/>
      <c r="K10" s="117">
        <f>SUM(K7:K9)</f>
        <v>0.24500000000000002</v>
      </c>
      <c r="L10" s="118">
        <f>SUM(L7:L9)</f>
        <v>13687.045840000002</v>
      </c>
      <c r="M10" s="27"/>
      <c r="N10" s="718" t="s">
        <v>327</v>
      </c>
      <c r="O10" s="774">
        <f>'M2022 BLS SALARY CHART (53_PCT)'!C38</f>
        <v>0.27379999999999999</v>
      </c>
      <c r="P10" s="1041" t="s">
        <v>179</v>
      </c>
      <c r="Q10" s="743"/>
      <c r="R10" s="743"/>
      <c r="S10" s="763"/>
      <c r="T10" s="990"/>
    </row>
    <row r="11" spans="2:20" ht="15.75">
      <c r="B11" s="35" t="s">
        <v>328</v>
      </c>
      <c r="C11" s="36"/>
      <c r="D11" s="36"/>
      <c r="E11" s="36"/>
      <c r="F11" s="37"/>
      <c r="H11" s="27"/>
      <c r="I11" s="110"/>
      <c r="J11" s="27"/>
      <c r="K11" s="27"/>
      <c r="L11" s="115"/>
      <c r="M11" s="27"/>
      <c r="N11" s="718" t="s">
        <v>178</v>
      </c>
      <c r="O11" s="774">
        <f>'M2022 BLS SALARY CHART (53_PCT)'!C41</f>
        <v>0.12</v>
      </c>
      <c r="P11" s="1041" t="s">
        <v>179</v>
      </c>
      <c r="Q11" s="743"/>
      <c r="R11" s="743"/>
      <c r="S11" s="763"/>
      <c r="T11" s="990"/>
    </row>
    <row r="12" spans="2:20" ht="15.75">
      <c r="B12" s="35" t="s">
        <v>367</v>
      </c>
      <c r="C12" s="36"/>
      <c r="D12" s="60">
        <v>0.21590826871491237</v>
      </c>
      <c r="E12" s="60"/>
      <c r="F12" s="47">
        <v>1635.6433168074389</v>
      </c>
      <c r="H12" s="27"/>
      <c r="I12" s="110"/>
      <c r="J12" s="27"/>
      <c r="K12" s="27"/>
      <c r="L12" s="115"/>
      <c r="M12" s="27"/>
      <c r="N12" s="718"/>
      <c r="O12" s="113"/>
      <c r="P12" s="749"/>
      <c r="Q12" s="27"/>
      <c r="R12" s="27"/>
      <c r="S12" s="763"/>
      <c r="T12" s="990"/>
    </row>
    <row r="13" spans="2:20" ht="15.75">
      <c r="B13" s="53" t="s">
        <v>331</v>
      </c>
      <c r="C13" s="54"/>
      <c r="D13" s="54"/>
      <c r="E13" s="54"/>
      <c r="F13" s="75">
        <v>9211.2833168074394</v>
      </c>
      <c r="H13" s="27"/>
      <c r="I13" s="752" t="s">
        <v>367</v>
      </c>
      <c r="J13" s="767">
        <f>$O$10</f>
        <v>0.27379999999999999</v>
      </c>
      <c r="K13" s="991"/>
      <c r="L13" s="992">
        <f>J13*L10</f>
        <v>3747.5131509920006</v>
      </c>
      <c r="M13" s="27"/>
      <c r="N13" s="718" t="s">
        <v>368</v>
      </c>
      <c r="O13" s="758">
        <f ca="1">'FY20 UFR Data'!E5</f>
        <v>5963.9694954316819</v>
      </c>
      <c r="P13" s="749" t="s">
        <v>622</v>
      </c>
      <c r="Q13" s="27"/>
      <c r="R13" s="27"/>
      <c r="S13" s="718"/>
      <c r="T13" s="990"/>
    </row>
    <row r="14" spans="2:20" ht="15.75">
      <c r="B14" s="35"/>
      <c r="C14" s="36"/>
      <c r="D14" s="36"/>
      <c r="E14" s="36"/>
      <c r="F14" s="37"/>
      <c r="H14" s="27"/>
      <c r="I14" s="728" t="s">
        <v>331</v>
      </c>
      <c r="J14" s="993"/>
      <c r="K14" s="993"/>
      <c r="L14" s="994">
        <f>SUM(L10:L13)</f>
        <v>17434.558990992002</v>
      </c>
      <c r="M14" s="27"/>
      <c r="N14" s="718" t="s">
        <v>369</v>
      </c>
      <c r="O14" s="758">
        <f ca="1">'FY20 UFR Data'!AK5</f>
        <v>1347.3502436316674</v>
      </c>
      <c r="P14" s="749" t="s">
        <v>622</v>
      </c>
      <c r="Q14" s="27"/>
      <c r="R14" s="27"/>
      <c r="S14" s="718"/>
      <c r="T14" s="990"/>
    </row>
    <row r="15" spans="2:20" ht="15.75">
      <c r="B15" s="35" t="s">
        <v>370</v>
      </c>
      <c r="C15" s="36"/>
      <c r="D15" s="36" t="s">
        <v>507</v>
      </c>
      <c r="E15" s="36"/>
      <c r="F15" s="78">
        <v>1289.5087719298247</v>
      </c>
      <c r="H15" s="27"/>
      <c r="I15" s="752"/>
      <c r="J15" s="743"/>
      <c r="K15" s="743"/>
      <c r="L15" s="992"/>
      <c r="M15" s="27"/>
      <c r="N15" s="110"/>
      <c r="O15" s="161"/>
      <c r="P15" s="27"/>
      <c r="Q15" s="27"/>
      <c r="R15" s="27"/>
      <c r="S15" s="27"/>
      <c r="T15" s="73"/>
    </row>
    <row r="16" spans="2:20" ht="16.5" thickBot="1">
      <c r="B16" s="35"/>
      <c r="C16" s="36"/>
      <c r="D16" s="68">
        <v>99.192982456140356</v>
      </c>
      <c r="E16" s="36"/>
      <c r="F16" s="37"/>
      <c r="H16" s="114"/>
      <c r="I16" s="995" t="s">
        <v>371</v>
      </c>
      <c r="J16" s="996">
        <f ca="1">$O$13</f>
        <v>5963.9694954316819</v>
      </c>
      <c r="K16" s="743"/>
      <c r="L16" s="992">
        <f ca="1">J16*K10</f>
        <v>1461.1725263807623</v>
      </c>
      <c r="M16" s="114">
        <f ca="1">SUM(L16:L17)</f>
        <v>2808.5227700124296</v>
      </c>
      <c r="N16" s="906" t="s">
        <v>674</v>
      </c>
      <c r="O16" s="913">
        <f>'2023 FALL CAF'!CR29</f>
        <v>2.6565517099262824E-2</v>
      </c>
      <c r="P16" s="771" t="s">
        <v>713</v>
      </c>
      <c r="Q16" s="772"/>
      <c r="R16" s="773"/>
      <c r="S16" s="165"/>
      <c r="T16" s="166"/>
    </row>
    <row r="17" spans="2:20" ht="15.75">
      <c r="B17" s="35" t="s">
        <v>374</v>
      </c>
      <c r="C17" s="36"/>
      <c r="D17" s="36"/>
      <c r="E17" s="36"/>
      <c r="F17" s="47">
        <v>880</v>
      </c>
      <c r="H17" s="27"/>
      <c r="I17" s="752" t="s">
        <v>375</v>
      </c>
      <c r="J17" s="996">
        <f ca="1">$O$14</f>
        <v>1347.3502436316674</v>
      </c>
      <c r="K17" s="743"/>
      <c r="L17" s="992">
        <f ca="1">J17</f>
        <v>1347.3502436316674</v>
      </c>
      <c r="M17" s="27"/>
      <c r="N17" s="27"/>
      <c r="O17" s="27"/>
      <c r="P17" s="27"/>
      <c r="Q17" s="27"/>
      <c r="R17" s="27"/>
      <c r="S17" s="27"/>
      <c r="T17" s="27"/>
    </row>
    <row r="18" spans="2:20" ht="15.75">
      <c r="B18" s="35"/>
      <c r="C18" s="36"/>
      <c r="D18" s="36"/>
      <c r="E18" s="36"/>
      <c r="F18" s="37"/>
      <c r="H18" s="27"/>
      <c r="I18" s="752"/>
      <c r="J18" s="743"/>
      <c r="K18" s="743"/>
      <c r="L18" s="992"/>
      <c r="M18" s="27"/>
      <c r="N18" s="27"/>
      <c r="O18" s="27"/>
      <c r="P18" s="27"/>
      <c r="Q18" s="27"/>
      <c r="R18" s="27"/>
      <c r="S18" s="27"/>
      <c r="T18" s="27"/>
    </row>
    <row r="19" spans="2:20" ht="15.75">
      <c r="B19" s="53" t="s">
        <v>376</v>
      </c>
      <c r="C19" s="54"/>
      <c r="D19" s="54"/>
      <c r="E19" s="54"/>
      <c r="F19" s="75">
        <v>11630.792088737264</v>
      </c>
      <c r="H19" s="27"/>
      <c r="I19" s="728" t="s">
        <v>376</v>
      </c>
      <c r="J19" s="993"/>
      <c r="K19" s="993"/>
      <c r="L19" s="994">
        <f ca="1">SUM(L14:L18)</f>
        <v>20243.081761004432</v>
      </c>
      <c r="M19" s="27"/>
      <c r="N19" s="105" t="s">
        <v>509</v>
      </c>
      <c r="O19" s="105" t="s">
        <v>510</v>
      </c>
      <c r="P19" s="27"/>
      <c r="Q19" s="27"/>
      <c r="R19" s="27"/>
      <c r="S19" s="27"/>
      <c r="T19" s="27"/>
    </row>
    <row r="20" spans="2:20" ht="15.75">
      <c r="B20" s="35" t="s">
        <v>377</v>
      </c>
      <c r="C20" s="36"/>
      <c r="D20" s="60">
        <v>0.11306220647863946</v>
      </c>
      <c r="E20" s="36"/>
      <c r="F20" s="78">
        <v>1315.0030166469389</v>
      </c>
      <c r="H20" s="27"/>
      <c r="I20" s="752" t="s">
        <v>377</v>
      </c>
      <c r="J20" s="767">
        <f>$O$11</f>
        <v>0.12</v>
      </c>
      <c r="K20" s="743"/>
      <c r="L20" s="992">
        <f ca="1">L19*J20</f>
        <v>2429.1698113205316</v>
      </c>
      <c r="M20" s="27"/>
      <c r="N20" s="27" t="s">
        <v>508</v>
      </c>
      <c r="O20" s="27" t="s">
        <v>511</v>
      </c>
      <c r="P20" s="27"/>
      <c r="Q20" s="27"/>
      <c r="R20" s="27"/>
      <c r="S20" s="27"/>
      <c r="T20" s="27"/>
    </row>
    <row r="21" spans="2:20" ht="15.75">
      <c r="B21" s="35" t="s">
        <v>378</v>
      </c>
      <c r="C21" s="36"/>
      <c r="D21" s="36"/>
      <c r="E21" s="133">
        <v>4.4599999999999973E-2</v>
      </c>
      <c r="F21" s="78">
        <v>13523.696281184326</v>
      </c>
      <c r="H21" s="27"/>
      <c r="I21" s="752" t="s">
        <v>379</v>
      </c>
      <c r="J21" s="743"/>
      <c r="K21" s="743"/>
      <c r="L21" s="992">
        <f ca="1">L20+L19</f>
        <v>22672.251572324963</v>
      </c>
      <c r="M21" s="27"/>
      <c r="N21" s="27" t="s">
        <v>512</v>
      </c>
      <c r="O21" s="121" t="s">
        <v>513</v>
      </c>
      <c r="P21" s="27"/>
      <c r="Q21" s="27"/>
      <c r="R21" s="27"/>
      <c r="S21" s="27"/>
      <c r="T21" s="27"/>
    </row>
    <row r="22" spans="2:20" ht="15.75">
      <c r="B22" s="53" t="s">
        <v>380</v>
      </c>
      <c r="C22" s="86"/>
      <c r="D22" s="136">
        <f>F22/F21</f>
        <v>7.6922756794483294E-2</v>
      </c>
      <c r="E22" s="86"/>
      <c r="F22" s="167">
        <v>1040.28</v>
      </c>
      <c r="H22" s="27"/>
      <c r="I22" s="997" t="s">
        <v>380</v>
      </c>
      <c r="J22" s="998"/>
      <c r="K22" s="999"/>
      <c r="L22" s="1000">
        <f ca="1">L21/L4</f>
        <v>2061.1137793022694</v>
      </c>
      <c r="M22" s="27"/>
      <c r="N22" s="27"/>
      <c r="O22" s="27"/>
      <c r="P22" s="27"/>
      <c r="Q22" s="27"/>
      <c r="R22" s="27"/>
      <c r="S22" s="27"/>
      <c r="T22" s="27"/>
    </row>
    <row r="23" spans="2:20" ht="15.75">
      <c r="B23" s="928" t="s">
        <v>381</v>
      </c>
      <c r="C23" s="41"/>
      <c r="D23" s="41"/>
      <c r="E23" s="929">
        <v>2.9824052590873982E-2</v>
      </c>
      <c r="F23" s="930">
        <f>F22*(E23+1)</f>
        <v>1071.3053654292344</v>
      </c>
      <c r="H23" s="931"/>
      <c r="I23" s="760" t="s">
        <v>382</v>
      </c>
      <c r="J23" s="1001">
        <f>$O$16</f>
        <v>2.6565517099262824E-2</v>
      </c>
      <c r="K23" s="1001"/>
      <c r="L23" s="1002">
        <f ca="1">L22*(J23+1)</f>
        <v>2115.8683326498503</v>
      </c>
      <c r="M23" s="931"/>
      <c r="N23" s="27"/>
      <c r="P23" s="27"/>
      <c r="Q23" s="27"/>
      <c r="R23" s="27"/>
      <c r="S23" s="27"/>
      <c r="T23" s="27"/>
    </row>
    <row r="24" spans="2:20">
      <c r="H24" s="134"/>
      <c r="I24" s="27"/>
      <c r="J24" s="27"/>
      <c r="K24" s="27" t="s">
        <v>385</v>
      </c>
      <c r="L24" s="207">
        <v>1248</v>
      </c>
      <c r="M24" s="134"/>
      <c r="O24" s="27"/>
      <c r="P24" s="27"/>
      <c r="Q24" s="27"/>
      <c r="R24" s="27"/>
      <c r="S24" s="27"/>
      <c r="T24" s="27"/>
    </row>
    <row r="25" spans="2:20">
      <c r="H25" s="27"/>
      <c r="I25" s="27"/>
      <c r="J25" s="27"/>
      <c r="K25"/>
      <c r="L25"/>
      <c r="M25"/>
      <c r="N25" s="27"/>
      <c r="O25" s="27"/>
      <c r="P25" s="27"/>
      <c r="Q25" s="27"/>
      <c r="R25" s="27"/>
      <c r="S25" s="27"/>
      <c r="T25" s="27"/>
    </row>
    <row r="26" spans="2:20">
      <c r="H26" s="27"/>
      <c r="I26" s="27"/>
      <c r="J26" s="27"/>
      <c r="K26"/>
      <c r="L26"/>
      <c r="M26"/>
      <c r="N26" s="27"/>
      <c r="O26" s="27"/>
      <c r="P26" s="27"/>
      <c r="Q26" s="27"/>
      <c r="R26" s="27"/>
      <c r="S26" s="27"/>
      <c r="T26" s="27"/>
    </row>
    <row r="27" spans="2:20">
      <c r="K27"/>
      <c r="L27"/>
      <c r="M27"/>
      <c r="O27" s="27"/>
      <c r="P27" s="27"/>
      <c r="Q27" s="27"/>
      <c r="R27" s="27"/>
      <c r="S27" s="27"/>
      <c r="T27" s="27"/>
    </row>
    <row r="28" spans="2:20">
      <c r="K28"/>
      <c r="L28"/>
      <c r="M28"/>
      <c r="O28" s="27"/>
      <c r="P28" s="27"/>
      <c r="Q28" s="27"/>
      <c r="R28" s="27"/>
      <c r="S28" s="27"/>
      <c r="T28" s="27"/>
    </row>
    <row r="29" spans="2:20">
      <c r="B29" s="41"/>
      <c r="C29" s="41"/>
      <c r="E29" s="95"/>
      <c r="F29" s="95"/>
      <c r="K29"/>
      <c r="L29"/>
      <c r="M29"/>
      <c r="O29" s="27"/>
      <c r="P29" s="27"/>
      <c r="Q29" s="27"/>
      <c r="R29" s="27"/>
      <c r="S29" s="27"/>
      <c r="T29" s="27"/>
    </row>
    <row r="30" spans="2:20">
      <c r="B30" s="31"/>
      <c r="C30" s="79"/>
      <c r="E30" s="62"/>
      <c r="F30" s="62"/>
      <c r="K30"/>
      <c r="L30"/>
      <c r="M30"/>
      <c r="O30" s="27"/>
      <c r="P30" s="27"/>
      <c r="Q30" s="27"/>
      <c r="R30" s="27"/>
      <c r="S30" s="27"/>
      <c r="T30" s="27"/>
    </row>
    <row r="31" spans="2:20">
      <c r="B31" s="31"/>
      <c r="C31" s="79"/>
      <c r="E31" s="62"/>
      <c r="F31" s="62"/>
      <c r="O31" s="27"/>
      <c r="P31" s="27"/>
      <c r="Q31" s="27"/>
      <c r="R31" s="27"/>
      <c r="S31" s="27"/>
      <c r="T31" s="27"/>
    </row>
    <row r="32" spans="2:20">
      <c r="B32" s="31"/>
      <c r="C32" s="79"/>
      <c r="E32" s="62"/>
      <c r="F32" s="62"/>
      <c r="O32" s="27"/>
      <c r="P32" s="27"/>
      <c r="Q32" s="27"/>
      <c r="R32" s="27"/>
      <c r="S32" s="27"/>
      <c r="T32" s="27"/>
    </row>
    <row r="33" spans="2:20">
      <c r="B33" s="31"/>
      <c r="C33" s="48"/>
      <c r="E33" s="62"/>
      <c r="F33" s="62"/>
      <c r="O33" s="27"/>
      <c r="P33" s="27"/>
      <c r="Q33" s="27"/>
      <c r="R33" s="27"/>
      <c r="S33" s="27"/>
      <c r="T33" s="27"/>
    </row>
    <row r="34" spans="2:20">
      <c r="B34" s="31"/>
      <c r="C34" s="48"/>
      <c r="E34" s="62"/>
      <c r="F34" s="62"/>
      <c r="O34" s="27"/>
      <c r="P34" s="27"/>
      <c r="Q34" s="27"/>
      <c r="R34" s="27"/>
      <c r="S34" s="27"/>
      <c r="T34" s="27"/>
    </row>
    <row r="35" spans="2:20">
      <c r="E35" s="62"/>
      <c r="F35" s="62"/>
      <c r="O35" s="27"/>
      <c r="P35" s="27"/>
      <c r="Q35" s="27"/>
      <c r="R35" s="27"/>
      <c r="S35" s="27"/>
      <c r="T35" s="27"/>
    </row>
    <row r="36" spans="2:20">
      <c r="H36" s="27"/>
      <c r="I36" s="27"/>
      <c r="J36" s="27"/>
      <c r="K36" s="27"/>
      <c r="L36" s="27"/>
      <c r="M36" s="27"/>
      <c r="N36" s="27"/>
      <c r="O36" s="27"/>
      <c r="P36" s="27"/>
      <c r="Q36" s="27"/>
      <c r="R36" s="27"/>
      <c r="S36" s="27"/>
      <c r="T36" s="27"/>
    </row>
  </sheetData>
  <mergeCells count="5">
    <mergeCell ref="N4:T4"/>
    <mergeCell ref="N5:T5"/>
    <mergeCell ref="N9:T9"/>
    <mergeCell ref="I3:L3"/>
    <mergeCell ref="I4:K4"/>
  </mergeCells>
  <pageMargins left="0.7" right="0.7" top="0.75" bottom="0.75" header="0.3" footer="0.3"/>
  <pageSetup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1F072-E7BA-4954-869B-BC516A8F0183}">
  <dimension ref="A1:CX43"/>
  <sheetViews>
    <sheetView topLeftCell="BM4" workbookViewId="0">
      <selection activeCell="CA30" sqref="CA30"/>
    </sheetView>
  </sheetViews>
  <sheetFormatPr defaultRowHeight="12.75"/>
  <cols>
    <col min="1" max="1" width="38.42578125" style="972" customWidth="1"/>
    <col min="2" max="2" width="12.85546875" style="977" customWidth="1"/>
    <col min="3" max="82" width="7.7109375" style="972" customWidth="1"/>
    <col min="83" max="256" width="9.140625" style="972"/>
    <col min="257" max="257" width="38.42578125" style="972" customWidth="1"/>
    <col min="258" max="258" width="12.85546875" style="972" customWidth="1"/>
    <col min="259" max="338" width="7.7109375" style="972" customWidth="1"/>
    <col min="339" max="512" width="9.140625" style="972"/>
    <col min="513" max="513" width="38.42578125" style="972" customWidth="1"/>
    <col min="514" max="514" width="12.85546875" style="972" customWidth="1"/>
    <col min="515" max="594" width="7.7109375" style="972" customWidth="1"/>
    <col min="595" max="768" width="9.140625" style="972"/>
    <col min="769" max="769" width="38.42578125" style="972" customWidth="1"/>
    <col min="770" max="770" width="12.85546875" style="972" customWidth="1"/>
    <col min="771" max="850" width="7.7109375" style="972" customWidth="1"/>
    <col min="851" max="1024" width="9.140625" style="972"/>
    <col min="1025" max="1025" width="38.42578125" style="972" customWidth="1"/>
    <col min="1026" max="1026" width="12.85546875" style="972" customWidth="1"/>
    <col min="1027" max="1106" width="7.7109375" style="972" customWidth="1"/>
    <col min="1107" max="1280" width="9.140625" style="972"/>
    <col min="1281" max="1281" width="38.42578125" style="972" customWidth="1"/>
    <col min="1282" max="1282" width="12.85546875" style="972" customWidth="1"/>
    <col min="1283" max="1362" width="7.7109375" style="972" customWidth="1"/>
    <col min="1363" max="1536" width="9.140625" style="972"/>
    <col min="1537" max="1537" width="38.42578125" style="972" customWidth="1"/>
    <col min="1538" max="1538" width="12.85546875" style="972" customWidth="1"/>
    <col min="1539" max="1618" width="7.7109375" style="972" customWidth="1"/>
    <col min="1619" max="1792" width="9.140625" style="972"/>
    <col min="1793" max="1793" width="38.42578125" style="972" customWidth="1"/>
    <col min="1794" max="1794" width="12.85546875" style="972" customWidth="1"/>
    <col min="1795" max="1874" width="7.7109375" style="972" customWidth="1"/>
    <col min="1875" max="2048" width="9.140625" style="972"/>
    <col min="2049" max="2049" width="38.42578125" style="972" customWidth="1"/>
    <col min="2050" max="2050" width="12.85546875" style="972" customWidth="1"/>
    <col min="2051" max="2130" width="7.7109375" style="972" customWidth="1"/>
    <col min="2131" max="2304" width="9.140625" style="972"/>
    <col min="2305" max="2305" width="38.42578125" style="972" customWidth="1"/>
    <col min="2306" max="2306" width="12.85546875" style="972" customWidth="1"/>
    <col min="2307" max="2386" width="7.7109375" style="972" customWidth="1"/>
    <col min="2387" max="2560" width="9.140625" style="972"/>
    <col min="2561" max="2561" width="38.42578125" style="972" customWidth="1"/>
    <col min="2562" max="2562" width="12.85546875" style="972" customWidth="1"/>
    <col min="2563" max="2642" width="7.7109375" style="972" customWidth="1"/>
    <col min="2643" max="2816" width="9.140625" style="972"/>
    <col min="2817" max="2817" width="38.42578125" style="972" customWidth="1"/>
    <col min="2818" max="2818" width="12.85546875" style="972" customWidth="1"/>
    <col min="2819" max="2898" width="7.7109375" style="972" customWidth="1"/>
    <col min="2899" max="3072" width="9.140625" style="972"/>
    <col min="3073" max="3073" width="38.42578125" style="972" customWidth="1"/>
    <col min="3074" max="3074" width="12.85546875" style="972" customWidth="1"/>
    <col min="3075" max="3154" width="7.7109375" style="972" customWidth="1"/>
    <col min="3155" max="3328" width="9.140625" style="972"/>
    <col min="3329" max="3329" width="38.42578125" style="972" customWidth="1"/>
    <col min="3330" max="3330" width="12.85546875" style="972" customWidth="1"/>
    <col min="3331" max="3410" width="7.7109375" style="972" customWidth="1"/>
    <col min="3411" max="3584" width="9.140625" style="972"/>
    <col min="3585" max="3585" width="38.42578125" style="972" customWidth="1"/>
    <col min="3586" max="3586" width="12.85546875" style="972" customWidth="1"/>
    <col min="3587" max="3666" width="7.7109375" style="972" customWidth="1"/>
    <col min="3667" max="3840" width="9.140625" style="972"/>
    <col min="3841" max="3841" width="38.42578125" style="972" customWidth="1"/>
    <col min="3842" max="3842" width="12.85546875" style="972" customWidth="1"/>
    <col min="3843" max="3922" width="7.7109375" style="972" customWidth="1"/>
    <col min="3923" max="4096" width="9.140625" style="972"/>
    <col min="4097" max="4097" width="38.42578125" style="972" customWidth="1"/>
    <col min="4098" max="4098" width="12.85546875" style="972" customWidth="1"/>
    <col min="4099" max="4178" width="7.7109375" style="972" customWidth="1"/>
    <col min="4179" max="4352" width="9.140625" style="972"/>
    <col min="4353" max="4353" width="38.42578125" style="972" customWidth="1"/>
    <col min="4354" max="4354" width="12.85546875" style="972" customWidth="1"/>
    <col min="4355" max="4434" width="7.7109375" style="972" customWidth="1"/>
    <col min="4435" max="4608" width="9.140625" style="972"/>
    <col min="4609" max="4609" width="38.42578125" style="972" customWidth="1"/>
    <col min="4610" max="4610" width="12.85546875" style="972" customWidth="1"/>
    <col min="4611" max="4690" width="7.7109375" style="972" customWidth="1"/>
    <col min="4691" max="4864" width="9.140625" style="972"/>
    <col min="4865" max="4865" width="38.42578125" style="972" customWidth="1"/>
    <col min="4866" max="4866" width="12.85546875" style="972" customWidth="1"/>
    <col min="4867" max="4946" width="7.7109375" style="972" customWidth="1"/>
    <col min="4947" max="5120" width="9.140625" style="972"/>
    <col min="5121" max="5121" width="38.42578125" style="972" customWidth="1"/>
    <col min="5122" max="5122" width="12.85546875" style="972" customWidth="1"/>
    <col min="5123" max="5202" width="7.7109375" style="972" customWidth="1"/>
    <col min="5203" max="5376" width="9.140625" style="972"/>
    <col min="5377" max="5377" width="38.42578125" style="972" customWidth="1"/>
    <col min="5378" max="5378" width="12.85546875" style="972" customWidth="1"/>
    <col min="5379" max="5458" width="7.7109375" style="972" customWidth="1"/>
    <col min="5459" max="5632" width="9.140625" style="972"/>
    <col min="5633" max="5633" width="38.42578125" style="972" customWidth="1"/>
    <col min="5634" max="5634" width="12.85546875" style="972" customWidth="1"/>
    <col min="5635" max="5714" width="7.7109375" style="972" customWidth="1"/>
    <col min="5715" max="5888" width="9.140625" style="972"/>
    <col min="5889" max="5889" width="38.42578125" style="972" customWidth="1"/>
    <col min="5890" max="5890" width="12.85546875" style="972" customWidth="1"/>
    <col min="5891" max="5970" width="7.7109375" style="972" customWidth="1"/>
    <col min="5971" max="6144" width="9.140625" style="972"/>
    <col min="6145" max="6145" width="38.42578125" style="972" customWidth="1"/>
    <col min="6146" max="6146" width="12.85546875" style="972" customWidth="1"/>
    <col min="6147" max="6226" width="7.7109375" style="972" customWidth="1"/>
    <col min="6227" max="6400" width="9.140625" style="972"/>
    <col min="6401" max="6401" width="38.42578125" style="972" customWidth="1"/>
    <col min="6402" max="6402" width="12.85546875" style="972" customWidth="1"/>
    <col min="6403" max="6482" width="7.7109375" style="972" customWidth="1"/>
    <col min="6483" max="6656" width="9.140625" style="972"/>
    <col min="6657" max="6657" width="38.42578125" style="972" customWidth="1"/>
    <col min="6658" max="6658" width="12.85546875" style="972" customWidth="1"/>
    <col min="6659" max="6738" width="7.7109375" style="972" customWidth="1"/>
    <col min="6739" max="6912" width="9.140625" style="972"/>
    <col min="6913" max="6913" width="38.42578125" style="972" customWidth="1"/>
    <col min="6914" max="6914" width="12.85546875" style="972" customWidth="1"/>
    <col min="6915" max="6994" width="7.7109375" style="972" customWidth="1"/>
    <col min="6995" max="7168" width="9.140625" style="972"/>
    <col min="7169" max="7169" width="38.42578125" style="972" customWidth="1"/>
    <col min="7170" max="7170" width="12.85546875" style="972" customWidth="1"/>
    <col min="7171" max="7250" width="7.7109375" style="972" customWidth="1"/>
    <col min="7251" max="7424" width="9.140625" style="972"/>
    <col min="7425" max="7425" width="38.42578125" style="972" customWidth="1"/>
    <col min="7426" max="7426" width="12.85546875" style="972" customWidth="1"/>
    <col min="7427" max="7506" width="7.7109375" style="972" customWidth="1"/>
    <col min="7507" max="7680" width="9.140625" style="972"/>
    <col min="7681" max="7681" width="38.42578125" style="972" customWidth="1"/>
    <col min="7682" max="7682" width="12.85546875" style="972" customWidth="1"/>
    <col min="7683" max="7762" width="7.7109375" style="972" customWidth="1"/>
    <col min="7763" max="7936" width="9.140625" style="972"/>
    <col min="7937" max="7937" width="38.42578125" style="972" customWidth="1"/>
    <col min="7938" max="7938" width="12.85546875" style="972" customWidth="1"/>
    <col min="7939" max="8018" width="7.7109375" style="972" customWidth="1"/>
    <col min="8019" max="8192" width="9.140625" style="972"/>
    <col min="8193" max="8193" width="38.42578125" style="972" customWidth="1"/>
    <col min="8194" max="8194" width="12.85546875" style="972" customWidth="1"/>
    <col min="8195" max="8274" width="7.7109375" style="972" customWidth="1"/>
    <col min="8275" max="8448" width="9.140625" style="972"/>
    <col min="8449" max="8449" width="38.42578125" style="972" customWidth="1"/>
    <col min="8450" max="8450" width="12.85546875" style="972" customWidth="1"/>
    <col min="8451" max="8530" width="7.7109375" style="972" customWidth="1"/>
    <col min="8531" max="8704" width="9.140625" style="972"/>
    <col min="8705" max="8705" width="38.42578125" style="972" customWidth="1"/>
    <col min="8706" max="8706" width="12.85546875" style="972" customWidth="1"/>
    <col min="8707" max="8786" width="7.7109375" style="972" customWidth="1"/>
    <col min="8787" max="8960" width="9.140625" style="972"/>
    <col min="8961" max="8961" width="38.42578125" style="972" customWidth="1"/>
    <col min="8962" max="8962" width="12.85546875" style="972" customWidth="1"/>
    <col min="8963" max="9042" width="7.7109375" style="972" customWidth="1"/>
    <col min="9043" max="9216" width="9.140625" style="972"/>
    <col min="9217" max="9217" width="38.42578125" style="972" customWidth="1"/>
    <col min="9218" max="9218" width="12.85546875" style="972" customWidth="1"/>
    <col min="9219" max="9298" width="7.7109375" style="972" customWidth="1"/>
    <col min="9299" max="9472" width="9.140625" style="972"/>
    <col min="9473" max="9473" width="38.42578125" style="972" customWidth="1"/>
    <col min="9474" max="9474" width="12.85546875" style="972" customWidth="1"/>
    <col min="9475" max="9554" width="7.7109375" style="972" customWidth="1"/>
    <col min="9555" max="9728" width="9.140625" style="972"/>
    <col min="9729" max="9729" width="38.42578125" style="972" customWidth="1"/>
    <col min="9730" max="9730" width="12.85546875" style="972" customWidth="1"/>
    <col min="9731" max="9810" width="7.7109375" style="972" customWidth="1"/>
    <col min="9811" max="9984" width="9.140625" style="972"/>
    <col min="9985" max="9985" width="38.42578125" style="972" customWidth="1"/>
    <col min="9986" max="9986" width="12.85546875" style="972" customWidth="1"/>
    <col min="9987" max="10066" width="7.7109375" style="972" customWidth="1"/>
    <col min="10067" max="10240" width="9.140625" style="972"/>
    <col min="10241" max="10241" width="38.42578125" style="972" customWidth="1"/>
    <col min="10242" max="10242" width="12.85546875" style="972" customWidth="1"/>
    <col min="10243" max="10322" width="7.7109375" style="972" customWidth="1"/>
    <col min="10323" max="10496" width="9.140625" style="972"/>
    <col min="10497" max="10497" width="38.42578125" style="972" customWidth="1"/>
    <col min="10498" max="10498" width="12.85546875" style="972" customWidth="1"/>
    <col min="10499" max="10578" width="7.7109375" style="972" customWidth="1"/>
    <col min="10579" max="10752" width="9.140625" style="972"/>
    <col min="10753" max="10753" width="38.42578125" style="972" customWidth="1"/>
    <col min="10754" max="10754" width="12.85546875" style="972" customWidth="1"/>
    <col min="10755" max="10834" width="7.7109375" style="972" customWidth="1"/>
    <col min="10835" max="11008" width="9.140625" style="972"/>
    <col min="11009" max="11009" width="38.42578125" style="972" customWidth="1"/>
    <col min="11010" max="11010" width="12.85546875" style="972" customWidth="1"/>
    <col min="11011" max="11090" width="7.7109375" style="972" customWidth="1"/>
    <col min="11091" max="11264" width="9.140625" style="972"/>
    <col min="11265" max="11265" width="38.42578125" style="972" customWidth="1"/>
    <col min="11266" max="11266" width="12.85546875" style="972" customWidth="1"/>
    <col min="11267" max="11346" width="7.7109375" style="972" customWidth="1"/>
    <col min="11347" max="11520" width="9.140625" style="972"/>
    <col min="11521" max="11521" width="38.42578125" style="972" customWidth="1"/>
    <col min="11522" max="11522" width="12.85546875" style="972" customWidth="1"/>
    <col min="11523" max="11602" width="7.7109375" style="972" customWidth="1"/>
    <col min="11603" max="11776" width="9.140625" style="972"/>
    <col min="11777" max="11777" width="38.42578125" style="972" customWidth="1"/>
    <col min="11778" max="11778" width="12.85546875" style="972" customWidth="1"/>
    <col min="11779" max="11858" width="7.7109375" style="972" customWidth="1"/>
    <col min="11859" max="12032" width="9.140625" style="972"/>
    <col min="12033" max="12033" width="38.42578125" style="972" customWidth="1"/>
    <col min="12034" max="12034" width="12.85546875" style="972" customWidth="1"/>
    <col min="12035" max="12114" width="7.7109375" style="972" customWidth="1"/>
    <col min="12115" max="12288" width="9.140625" style="972"/>
    <col min="12289" max="12289" width="38.42578125" style="972" customWidth="1"/>
    <col min="12290" max="12290" width="12.85546875" style="972" customWidth="1"/>
    <col min="12291" max="12370" width="7.7109375" style="972" customWidth="1"/>
    <col min="12371" max="12544" width="9.140625" style="972"/>
    <col min="12545" max="12545" width="38.42578125" style="972" customWidth="1"/>
    <col min="12546" max="12546" width="12.85546875" style="972" customWidth="1"/>
    <col min="12547" max="12626" width="7.7109375" style="972" customWidth="1"/>
    <col min="12627" max="12800" width="9.140625" style="972"/>
    <col min="12801" max="12801" width="38.42578125" style="972" customWidth="1"/>
    <col min="12802" max="12802" width="12.85546875" style="972" customWidth="1"/>
    <col min="12803" max="12882" width="7.7109375" style="972" customWidth="1"/>
    <col min="12883" max="13056" width="9.140625" style="972"/>
    <col min="13057" max="13057" width="38.42578125" style="972" customWidth="1"/>
    <col min="13058" max="13058" width="12.85546875" style="972" customWidth="1"/>
    <col min="13059" max="13138" width="7.7109375" style="972" customWidth="1"/>
    <col min="13139" max="13312" width="9.140625" style="972"/>
    <col min="13313" max="13313" width="38.42578125" style="972" customWidth="1"/>
    <col min="13314" max="13314" width="12.85546875" style="972" customWidth="1"/>
    <col min="13315" max="13394" width="7.7109375" style="972" customWidth="1"/>
    <col min="13395" max="13568" width="9.140625" style="972"/>
    <col min="13569" max="13569" width="38.42578125" style="972" customWidth="1"/>
    <col min="13570" max="13570" width="12.85546875" style="972" customWidth="1"/>
    <col min="13571" max="13650" width="7.7109375" style="972" customWidth="1"/>
    <col min="13651" max="13824" width="9.140625" style="972"/>
    <col min="13825" max="13825" width="38.42578125" style="972" customWidth="1"/>
    <col min="13826" max="13826" width="12.85546875" style="972" customWidth="1"/>
    <col min="13827" max="13906" width="7.7109375" style="972" customWidth="1"/>
    <col min="13907" max="14080" width="9.140625" style="972"/>
    <col min="14081" max="14081" width="38.42578125" style="972" customWidth="1"/>
    <col min="14082" max="14082" width="12.85546875" style="972" customWidth="1"/>
    <col min="14083" max="14162" width="7.7109375" style="972" customWidth="1"/>
    <col min="14163" max="14336" width="9.140625" style="972"/>
    <col min="14337" max="14337" width="38.42578125" style="972" customWidth="1"/>
    <col min="14338" max="14338" width="12.85546875" style="972" customWidth="1"/>
    <col min="14339" max="14418" width="7.7109375" style="972" customWidth="1"/>
    <col min="14419" max="14592" width="9.140625" style="972"/>
    <col min="14593" max="14593" width="38.42578125" style="972" customWidth="1"/>
    <col min="14594" max="14594" width="12.85546875" style="972" customWidth="1"/>
    <col min="14595" max="14674" width="7.7109375" style="972" customWidth="1"/>
    <col min="14675" max="14848" width="9.140625" style="972"/>
    <col min="14849" max="14849" width="38.42578125" style="972" customWidth="1"/>
    <col min="14850" max="14850" width="12.85546875" style="972" customWidth="1"/>
    <col min="14851" max="14930" width="7.7109375" style="972" customWidth="1"/>
    <col min="14931" max="15104" width="9.140625" style="972"/>
    <col min="15105" max="15105" width="38.42578125" style="972" customWidth="1"/>
    <col min="15106" max="15106" width="12.85546875" style="972" customWidth="1"/>
    <col min="15107" max="15186" width="7.7109375" style="972" customWidth="1"/>
    <col min="15187" max="15360" width="9.140625" style="972"/>
    <col min="15361" max="15361" width="38.42578125" style="972" customWidth="1"/>
    <col min="15362" max="15362" width="12.85546875" style="972" customWidth="1"/>
    <col min="15363" max="15442" width="7.7109375" style="972" customWidth="1"/>
    <col min="15443" max="15616" width="9.140625" style="972"/>
    <col min="15617" max="15617" width="38.42578125" style="972" customWidth="1"/>
    <col min="15618" max="15618" width="12.85546875" style="972" customWidth="1"/>
    <col min="15619" max="15698" width="7.7109375" style="972" customWidth="1"/>
    <col min="15699" max="15872" width="9.140625" style="972"/>
    <col min="15873" max="15873" width="38.42578125" style="972" customWidth="1"/>
    <col min="15874" max="15874" width="12.85546875" style="972" customWidth="1"/>
    <col min="15875" max="15954" width="7.7109375" style="972" customWidth="1"/>
    <col min="15955" max="16128" width="9.140625" style="972"/>
    <col min="16129" max="16129" width="38.42578125" style="972" customWidth="1"/>
    <col min="16130" max="16130" width="12.85546875" style="972" customWidth="1"/>
    <col min="16131" max="16210" width="7.7109375" style="972" customWidth="1"/>
    <col min="16211" max="16384" width="9.140625" style="972"/>
  </cols>
  <sheetData>
    <row r="1" spans="1:102" ht="18">
      <c r="A1" s="1062" t="s">
        <v>0</v>
      </c>
      <c r="B1" s="1063"/>
    </row>
    <row r="2" spans="1:102" ht="15.75">
      <c r="A2" s="973" t="s">
        <v>667</v>
      </c>
      <c r="B2" s="974"/>
    </row>
    <row r="3" spans="1:102" ht="15.75" thickBot="1">
      <c r="A3" s="975" t="s">
        <v>1</v>
      </c>
      <c r="B3" s="976"/>
    </row>
    <row r="6" spans="1:102">
      <c r="BQ6" s="180" t="s">
        <v>2</v>
      </c>
      <c r="BR6" s="180" t="s">
        <v>2</v>
      </c>
      <c r="BS6" s="180" t="s">
        <v>2</v>
      </c>
      <c r="BT6" s="180" t="s">
        <v>2</v>
      </c>
      <c r="BU6" s="181" t="s">
        <v>3</v>
      </c>
      <c r="BV6" s="181" t="s">
        <v>3</v>
      </c>
      <c r="BW6" s="181" t="s">
        <v>3</v>
      </c>
      <c r="BX6" s="181" t="s">
        <v>3</v>
      </c>
      <c r="BY6" s="182" t="s">
        <v>4</v>
      </c>
      <c r="BZ6" s="182" t="s">
        <v>4</v>
      </c>
      <c r="CA6" s="182" t="s">
        <v>4</v>
      </c>
      <c r="CB6" s="182" t="s">
        <v>4</v>
      </c>
      <c r="CC6" s="624" t="s">
        <v>5</v>
      </c>
      <c r="CD6" s="624" t="s">
        <v>5</v>
      </c>
      <c r="CE6" s="624" t="s">
        <v>5</v>
      </c>
      <c r="CF6" s="624" t="s">
        <v>5</v>
      </c>
      <c r="CG6" s="625" t="s">
        <v>6</v>
      </c>
      <c r="CH6" s="625" t="s">
        <v>6</v>
      </c>
      <c r="CI6" s="625" t="s">
        <v>6</v>
      </c>
      <c r="CJ6" s="625" t="s">
        <v>6</v>
      </c>
    </row>
    <row r="7" spans="1:102" s="977" customFormat="1">
      <c r="B7" s="977" t="s">
        <v>7</v>
      </c>
      <c r="C7" s="978" t="s">
        <v>8</v>
      </c>
      <c r="D7" s="978" t="s">
        <v>9</v>
      </c>
      <c r="E7" s="978" t="s">
        <v>10</v>
      </c>
      <c r="F7" s="978" t="s">
        <v>11</v>
      </c>
      <c r="G7" s="978" t="s">
        <v>12</v>
      </c>
      <c r="H7" s="978" t="s">
        <v>13</v>
      </c>
      <c r="I7" s="978" t="s">
        <v>14</v>
      </c>
      <c r="J7" s="978" t="s">
        <v>15</v>
      </c>
      <c r="K7" s="978" t="s">
        <v>16</v>
      </c>
      <c r="L7" s="978" t="s">
        <v>17</v>
      </c>
      <c r="M7" s="978" t="s">
        <v>18</v>
      </c>
      <c r="N7" s="978" t="s">
        <v>19</v>
      </c>
      <c r="O7" s="978" t="s">
        <v>20</v>
      </c>
      <c r="P7" s="978" t="s">
        <v>21</v>
      </c>
      <c r="Q7" s="978" t="s">
        <v>22</v>
      </c>
      <c r="R7" s="978" t="s">
        <v>23</v>
      </c>
      <c r="S7" s="978" t="s">
        <v>24</v>
      </c>
      <c r="T7" s="978" t="s">
        <v>25</v>
      </c>
      <c r="U7" s="978" t="s">
        <v>26</v>
      </c>
      <c r="V7" s="978" t="s">
        <v>27</v>
      </c>
      <c r="W7" s="978" t="s">
        <v>28</v>
      </c>
      <c r="X7" s="978" t="s">
        <v>29</v>
      </c>
      <c r="Y7" s="978" t="s">
        <v>30</v>
      </c>
      <c r="Z7" s="978" t="s">
        <v>31</v>
      </c>
      <c r="AA7" s="978" t="s">
        <v>32</v>
      </c>
      <c r="AB7" s="978" t="s">
        <v>33</v>
      </c>
      <c r="AC7" s="978" t="s">
        <v>34</v>
      </c>
      <c r="AD7" s="978" t="s">
        <v>35</v>
      </c>
      <c r="AE7" s="978" t="s">
        <v>36</v>
      </c>
      <c r="AF7" s="978" t="s">
        <v>37</v>
      </c>
      <c r="AG7" s="978" t="s">
        <v>38</v>
      </c>
      <c r="AH7" s="978" t="s">
        <v>39</v>
      </c>
      <c r="AI7" s="978" t="s">
        <v>40</v>
      </c>
      <c r="AJ7" s="978" t="s">
        <v>41</v>
      </c>
      <c r="AK7" s="978" t="s">
        <v>42</v>
      </c>
      <c r="AL7" s="978" t="s">
        <v>43</v>
      </c>
      <c r="AM7" s="978" t="s">
        <v>44</v>
      </c>
      <c r="AN7" s="978" t="s">
        <v>45</v>
      </c>
      <c r="AO7" s="978" t="s">
        <v>46</v>
      </c>
      <c r="AP7" s="978" t="s">
        <v>47</v>
      </c>
      <c r="AQ7" s="978" t="s">
        <v>48</v>
      </c>
      <c r="AR7" s="978" t="s">
        <v>49</v>
      </c>
      <c r="AS7" s="978" t="s">
        <v>50</v>
      </c>
      <c r="AT7" s="978" t="s">
        <v>51</v>
      </c>
      <c r="AU7" s="977" t="s">
        <v>52</v>
      </c>
      <c r="AV7" s="977" t="s">
        <v>53</v>
      </c>
      <c r="AW7" s="977" t="s">
        <v>54</v>
      </c>
      <c r="AX7" s="977" t="s">
        <v>55</v>
      </c>
      <c r="AY7" s="977" t="s">
        <v>56</v>
      </c>
      <c r="AZ7" s="977" t="s">
        <v>57</v>
      </c>
      <c r="BA7" s="977" t="s">
        <v>58</v>
      </c>
      <c r="BB7" s="977" t="s">
        <v>59</v>
      </c>
      <c r="BC7" s="977" t="s">
        <v>60</v>
      </c>
      <c r="BD7" s="977" t="s">
        <v>61</v>
      </c>
      <c r="BE7" s="977" t="s">
        <v>62</v>
      </c>
      <c r="BF7" s="977" t="s">
        <v>63</v>
      </c>
      <c r="BG7" s="977" t="s">
        <v>64</v>
      </c>
      <c r="BH7" s="977" t="s">
        <v>65</v>
      </c>
      <c r="BI7" s="977" t="s">
        <v>66</v>
      </c>
      <c r="BJ7" s="977" t="s">
        <v>67</v>
      </c>
      <c r="BK7" s="977" t="s">
        <v>68</v>
      </c>
      <c r="BL7" s="977" t="s">
        <v>69</v>
      </c>
      <c r="BM7" s="977" t="s">
        <v>70</v>
      </c>
      <c r="BN7" s="977" t="s">
        <v>71</v>
      </c>
      <c r="BO7" s="977" t="s">
        <v>72</v>
      </c>
      <c r="BP7" s="977" t="s">
        <v>73</v>
      </c>
      <c r="BQ7" s="977" t="s">
        <v>74</v>
      </c>
      <c r="BR7" s="977" t="s">
        <v>75</v>
      </c>
      <c r="BS7" s="977" t="s">
        <v>76</v>
      </c>
      <c r="BT7" s="977" t="s">
        <v>77</v>
      </c>
      <c r="BU7" s="977" t="s">
        <v>78</v>
      </c>
      <c r="BV7" s="977" t="s">
        <v>79</v>
      </c>
      <c r="BW7" s="977" t="s">
        <v>80</v>
      </c>
      <c r="BX7" s="977" t="s">
        <v>81</v>
      </c>
      <c r="BY7" s="977" t="s">
        <v>82</v>
      </c>
      <c r="BZ7" s="977" t="s">
        <v>83</v>
      </c>
      <c r="CA7" s="977" t="s">
        <v>84</v>
      </c>
      <c r="CB7" s="977" t="s">
        <v>85</v>
      </c>
      <c r="CC7" s="977" t="s">
        <v>86</v>
      </c>
      <c r="CD7" s="977" t="s">
        <v>87</v>
      </c>
      <c r="CE7" s="977" t="s">
        <v>88</v>
      </c>
      <c r="CF7" s="977" t="s">
        <v>89</v>
      </c>
      <c r="CG7" s="977" t="s">
        <v>90</v>
      </c>
      <c r="CH7" s="977" t="s">
        <v>91</v>
      </c>
      <c r="CI7" s="977" t="s">
        <v>92</v>
      </c>
      <c r="CJ7" s="977" t="s">
        <v>93</v>
      </c>
      <c r="CK7" s="977" t="s">
        <v>94</v>
      </c>
      <c r="CL7" s="977" t="s">
        <v>95</v>
      </c>
      <c r="CM7" s="977" t="s">
        <v>654</v>
      </c>
      <c r="CN7" s="977" t="s">
        <v>655</v>
      </c>
      <c r="CO7" s="977" t="s">
        <v>656</v>
      </c>
      <c r="CP7" s="977" t="s">
        <v>657</v>
      </c>
      <c r="CQ7" s="977" t="s">
        <v>658</v>
      </c>
      <c r="CR7" s="977" t="s">
        <v>659</v>
      </c>
      <c r="CS7" s="977" t="s">
        <v>660</v>
      </c>
      <c r="CT7" s="977" t="s">
        <v>661</v>
      </c>
      <c r="CU7" s="977" t="s">
        <v>668</v>
      </c>
      <c r="CV7" s="977" t="s">
        <v>669</v>
      </c>
      <c r="CW7" s="977" t="s">
        <v>670</v>
      </c>
      <c r="CX7" s="977" t="s">
        <v>671</v>
      </c>
    </row>
    <row r="8" spans="1:102">
      <c r="A8" s="977" t="s">
        <v>96</v>
      </c>
      <c r="B8" s="977" t="s">
        <v>97</v>
      </c>
      <c r="C8" s="979">
        <v>2.0050112051495002</v>
      </c>
      <c r="D8" s="979">
        <v>2.0276241163363098</v>
      </c>
      <c r="E8" s="979">
        <v>2.0363460391917001</v>
      </c>
      <c r="F8" s="979">
        <v>2.0596415110589001</v>
      </c>
      <c r="G8" s="979">
        <v>2.0733294705676499</v>
      </c>
      <c r="H8" s="979">
        <v>2.0835292799709602</v>
      </c>
      <c r="I8" s="979">
        <v>2.1195041887439401</v>
      </c>
      <c r="J8" s="979">
        <v>2.1415481300828598</v>
      </c>
      <c r="K8" s="979">
        <v>2.1562703287960399</v>
      </c>
      <c r="L8" s="979">
        <v>2.1819748269408099</v>
      </c>
      <c r="M8" s="979">
        <v>2.2029036076995201</v>
      </c>
      <c r="N8" s="979">
        <v>2.1887625047097399</v>
      </c>
      <c r="O8" s="979">
        <v>2.2060843099596301</v>
      </c>
      <c r="P8" s="979">
        <v>2.2265958098971699</v>
      </c>
      <c r="Q8" s="979">
        <v>2.2446322955459399</v>
      </c>
      <c r="R8" s="979">
        <v>2.2722619420728098</v>
      </c>
      <c r="S8" s="979">
        <v>2.2956075162666898</v>
      </c>
      <c r="T8" s="979">
        <v>2.33325183151159</v>
      </c>
      <c r="U8" s="979">
        <v>2.37203530343487</v>
      </c>
      <c r="V8" s="979">
        <v>2.3206542043126999</v>
      </c>
      <c r="W8" s="979">
        <v>2.30200743794274</v>
      </c>
      <c r="X8" s="979">
        <v>2.3133154897554</v>
      </c>
      <c r="Y8" s="979">
        <v>2.3324316109679</v>
      </c>
      <c r="Z8" s="979">
        <v>2.3514838560921301</v>
      </c>
      <c r="AA8" s="979">
        <v>2.35519698431525</v>
      </c>
      <c r="AB8" s="979">
        <v>2.3583040416960399</v>
      </c>
      <c r="AC8" s="979">
        <v>2.3659233658671601</v>
      </c>
      <c r="AD8" s="979">
        <v>2.3887196326128302</v>
      </c>
      <c r="AE8" s="979">
        <v>2.4062061518870501</v>
      </c>
      <c r="AF8" s="979">
        <v>2.44252591544041</v>
      </c>
      <c r="AG8" s="979">
        <v>2.4591685909552199</v>
      </c>
      <c r="AH8" s="979">
        <v>2.4668379437269699</v>
      </c>
      <c r="AI8" s="979">
        <v>2.4785145451270099</v>
      </c>
      <c r="AJ8" s="979">
        <v>2.4851120001921498</v>
      </c>
      <c r="AK8" s="979">
        <v>2.4964929133262999</v>
      </c>
      <c r="AL8" s="979">
        <v>2.5166188182623199</v>
      </c>
      <c r="AM8" s="979">
        <v>2.5215576130559998</v>
      </c>
      <c r="AN8" s="979">
        <v>2.52180857683138</v>
      </c>
      <c r="AO8" s="979">
        <v>2.53710244272522</v>
      </c>
      <c r="AP8" s="979">
        <v>2.54811207866496</v>
      </c>
      <c r="AQ8" s="979">
        <v>2.5620432753712001</v>
      </c>
      <c r="AR8" s="979">
        <v>2.5663852378941701</v>
      </c>
      <c r="AS8" s="979">
        <v>2.5733594694754802</v>
      </c>
      <c r="AT8" s="979">
        <v>2.5692521315192698</v>
      </c>
      <c r="AU8" s="979">
        <v>2.56015489993815</v>
      </c>
      <c r="AV8" s="979">
        <v>2.5720252475700498</v>
      </c>
      <c r="AW8" s="979">
        <v>2.5752492149967199</v>
      </c>
      <c r="AX8" s="979">
        <v>2.5757251437181501</v>
      </c>
      <c r="AY8" s="979">
        <v>2.5700308525139999</v>
      </c>
      <c r="AZ8" s="979">
        <v>2.5905788087957</v>
      </c>
      <c r="BA8" s="979">
        <v>2.60565815313538</v>
      </c>
      <c r="BB8" s="979">
        <v>2.62434040849209</v>
      </c>
      <c r="BC8" s="979">
        <v>2.6416721951751398</v>
      </c>
      <c r="BD8" s="979">
        <v>2.6438856664204402</v>
      </c>
      <c r="BE8" s="979">
        <v>2.6501699197236599</v>
      </c>
      <c r="BF8" s="979">
        <v>2.671878963438</v>
      </c>
      <c r="BG8" s="979">
        <v>2.6993222171317699</v>
      </c>
      <c r="BH8" s="979">
        <v>2.71620981134443</v>
      </c>
      <c r="BI8" s="979">
        <v>2.7288288811600601</v>
      </c>
      <c r="BJ8" s="979">
        <v>2.7428099299867101</v>
      </c>
      <c r="BK8" s="979">
        <v>2.7489205839767799</v>
      </c>
      <c r="BL8" s="979">
        <v>2.7670705452261899</v>
      </c>
      <c r="BM8" s="979">
        <v>2.7828865026935201</v>
      </c>
      <c r="BN8" s="979">
        <v>2.7968085391111699</v>
      </c>
      <c r="BO8" s="979">
        <v>2.8054288346603502</v>
      </c>
      <c r="BP8" s="979">
        <v>2.7884180402680299</v>
      </c>
      <c r="BQ8" s="979">
        <v>2.7998641580951702</v>
      </c>
      <c r="BR8" s="979">
        <v>2.8171474270444001</v>
      </c>
      <c r="BS8" s="979">
        <v>2.8438349396178499</v>
      </c>
      <c r="BT8" s="979">
        <v>2.8752551433225602</v>
      </c>
      <c r="BU8" s="979">
        <v>2.9161903655505799</v>
      </c>
      <c r="BV8" s="979">
        <v>2.9803358353475899</v>
      </c>
      <c r="BW8" s="979">
        <v>3.0354748219846401</v>
      </c>
      <c r="BX8" s="979">
        <v>3.0879962927626701</v>
      </c>
      <c r="BY8" s="979">
        <v>3.1288947779563401</v>
      </c>
      <c r="BZ8" s="979">
        <v>3.1689521453255201</v>
      </c>
      <c r="CA8" s="979">
        <v>3.1980340707348902</v>
      </c>
      <c r="CB8" s="979">
        <v>3.22990450581444</v>
      </c>
      <c r="CC8" s="979">
        <v>3.26075269913281</v>
      </c>
      <c r="CD8" s="979">
        <v>3.2907631968455</v>
      </c>
      <c r="CE8" s="979">
        <v>3.3125596296297699</v>
      </c>
      <c r="CF8" s="979">
        <v>3.3297133036565598</v>
      </c>
      <c r="CG8" s="979">
        <v>3.3554073265633502</v>
      </c>
      <c r="CH8" s="979">
        <v>3.3788405050657802</v>
      </c>
      <c r="CI8" s="979">
        <v>3.39938295780372</v>
      </c>
      <c r="CJ8" s="979">
        <v>3.4175790025706099</v>
      </c>
      <c r="CK8" s="979">
        <v>3.4369701606410201</v>
      </c>
      <c r="CL8" s="979">
        <v>3.4575802979927102</v>
      </c>
      <c r="CM8" s="979">
        <v>3.4771120398923698</v>
      </c>
      <c r="CN8" s="979">
        <v>3.4951231605612301</v>
      </c>
      <c r="CO8" s="979">
        <v>3.5145794338558001</v>
      </c>
      <c r="CP8" s="979">
        <v>3.5352713487487901</v>
      </c>
      <c r="CQ8" s="979">
        <v>3.5556929148674201</v>
      </c>
      <c r="CR8" s="979">
        <v>3.5758520413646999</v>
      </c>
      <c r="CS8" s="979">
        <v>3.5965497565748001</v>
      </c>
      <c r="CT8" s="979">
        <v>3.6172456101849302</v>
      </c>
      <c r="CU8" s="979">
        <v>3.6362786933062998</v>
      </c>
      <c r="CV8" s="979">
        <v>3.65538542992266</v>
      </c>
      <c r="CW8" s="979">
        <v>3.6753840732010601</v>
      </c>
      <c r="CX8" s="979">
        <v>3.6948614603658299</v>
      </c>
    </row>
    <row r="9" spans="1:102">
      <c r="A9" s="977" t="s">
        <v>98</v>
      </c>
      <c r="B9" s="977" t="s">
        <v>99</v>
      </c>
      <c r="C9" s="979">
        <v>2.0050112051495002</v>
      </c>
      <c r="D9" s="979">
        <v>2.0276241163363098</v>
      </c>
      <c r="E9" s="979">
        <v>2.0363460391917001</v>
      </c>
      <c r="F9" s="979">
        <v>2.0596415110589001</v>
      </c>
      <c r="G9" s="979">
        <v>2.0733294705676499</v>
      </c>
      <c r="H9" s="979">
        <v>2.0835292799709602</v>
      </c>
      <c r="I9" s="979">
        <v>2.1195041887439401</v>
      </c>
      <c r="J9" s="979">
        <v>2.1415481300828598</v>
      </c>
      <c r="K9" s="979">
        <v>2.1562703287960399</v>
      </c>
      <c r="L9" s="979">
        <v>2.1819748269408099</v>
      </c>
      <c r="M9" s="979">
        <v>2.2029036076995201</v>
      </c>
      <c r="N9" s="979">
        <v>2.1887625047097399</v>
      </c>
      <c r="O9" s="979">
        <v>2.2060843099596301</v>
      </c>
      <c r="P9" s="979">
        <v>2.2265958098971699</v>
      </c>
      <c r="Q9" s="979">
        <v>2.2446322955459399</v>
      </c>
      <c r="R9" s="979">
        <v>2.2722619420728098</v>
      </c>
      <c r="S9" s="979">
        <v>2.2956075162666898</v>
      </c>
      <c r="T9" s="979">
        <v>2.33325183151159</v>
      </c>
      <c r="U9" s="979">
        <v>2.37203530343487</v>
      </c>
      <c r="V9" s="979">
        <v>2.3206542043126999</v>
      </c>
      <c r="W9" s="979">
        <v>2.30200743794274</v>
      </c>
      <c r="X9" s="979">
        <v>2.3133154897554</v>
      </c>
      <c r="Y9" s="979">
        <v>2.3324316109679</v>
      </c>
      <c r="Z9" s="979">
        <v>2.3514838560921301</v>
      </c>
      <c r="AA9" s="979">
        <v>2.35519698431525</v>
      </c>
      <c r="AB9" s="979">
        <v>2.3583040416960399</v>
      </c>
      <c r="AC9" s="979">
        <v>2.3659233658671601</v>
      </c>
      <c r="AD9" s="979">
        <v>2.3887196326128302</v>
      </c>
      <c r="AE9" s="979">
        <v>2.4062061518870501</v>
      </c>
      <c r="AF9" s="979">
        <v>2.44252591544041</v>
      </c>
      <c r="AG9" s="979">
        <v>2.4591685909552199</v>
      </c>
      <c r="AH9" s="979">
        <v>2.4668379437269699</v>
      </c>
      <c r="AI9" s="979">
        <v>2.4785145451270099</v>
      </c>
      <c r="AJ9" s="979">
        <v>2.4851120001921498</v>
      </c>
      <c r="AK9" s="979">
        <v>2.4964929133262999</v>
      </c>
      <c r="AL9" s="979">
        <v>2.5166188182623199</v>
      </c>
      <c r="AM9" s="979">
        <v>2.5215576130559998</v>
      </c>
      <c r="AN9" s="979">
        <v>2.52180857683138</v>
      </c>
      <c r="AO9" s="979">
        <v>2.53710244272522</v>
      </c>
      <c r="AP9" s="979">
        <v>2.54811207866496</v>
      </c>
      <c r="AQ9" s="979">
        <v>2.5620432753712001</v>
      </c>
      <c r="AR9" s="979">
        <v>2.5663852378941701</v>
      </c>
      <c r="AS9" s="979">
        <v>2.5733594694754802</v>
      </c>
      <c r="AT9" s="979">
        <v>2.5692521315192698</v>
      </c>
      <c r="AU9" s="979">
        <v>2.56015489993815</v>
      </c>
      <c r="AV9" s="979">
        <v>2.5720252475700498</v>
      </c>
      <c r="AW9" s="979">
        <v>2.5752492149967199</v>
      </c>
      <c r="AX9" s="979">
        <v>2.5757251437181501</v>
      </c>
      <c r="AY9" s="979">
        <v>2.5700308525139999</v>
      </c>
      <c r="AZ9" s="979">
        <v>2.5905788087957</v>
      </c>
      <c r="BA9" s="979">
        <v>2.60565815313538</v>
      </c>
      <c r="BB9" s="979">
        <v>2.62434040849209</v>
      </c>
      <c r="BC9" s="979">
        <v>2.6416721951751398</v>
      </c>
      <c r="BD9" s="979">
        <v>2.6438856664204402</v>
      </c>
      <c r="BE9" s="979">
        <v>2.6501699197236599</v>
      </c>
      <c r="BF9" s="979">
        <v>2.671878963438</v>
      </c>
      <c r="BG9" s="979">
        <v>2.6993222171317699</v>
      </c>
      <c r="BH9" s="979">
        <v>2.71620981134443</v>
      </c>
      <c r="BI9" s="979">
        <v>2.7288288811600601</v>
      </c>
      <c r="BJ9" s="979">
        <v>2.7428099299867101</v>
      </c>
      <c r="BK9" s="979">
        <v>2.7489205839767799</v>
      </c>
      <c r="BL9" s="979">
        <v>2.7670705452261899</v>
      </c>
      <c r="BM9" s="979">
        <v>2.7828865026935201</v>
      </c>
      <c r="BN9" s="979">
        <v>2.7968085391111699</v>
      </c>
      <c r="BO9" s="979">
        <v>2.8054288346603502</v>
      </c>
      <c r="BP9" s="979">
        <v>2.7884180402680299</v>
      </c>
      <c r="BQ9" s="979">
        <v>2.7998641580951702</v>
      </c>
      <c r="BR9" s="979">
        <v>2.8171474270444001</v>
      </c>
      <c r="BS9" s="979">
        <v>2.8438349396178499</v>
      </c>
      <c r="BT9" s="979">
        <v>2.8752551433225602</v>
      </c>
      <c r="BU9" s="979">
        <v>2.9161903655505799</v>
      </c>
      <c r="BV9" s="979">
        <v>2.9803358353475899</v>
      </c>
      <c r="BW9" s="979">
        <v>3.0354748219846401</v>
      </c>
      <c r="BX9" s="979">
        <v>3.0879962927626701</v>
      </c>
      <c r="BY9" s="979">
        <v>3.1288947779563401</v>
      </c>
      <c r="BZ9" s="979">
        <v>3.1689521453255201</v>
      </c>
      <c r="CA9" s="979">
        <v>3.1925229599317202</v>
      </c>
      <c r="CB9" s="979">
        <v>3.2142263456677802</v>
      </c>
      <c r="CC9" s="979">
        <v>3.2423791220789102</v>
      </c>
      <c r="CD9" s="979">
        <v>3.2707369257652799</v>
      </c>
      <c r="CE9" s="979">
        <v>3.2911977168238602</v>
      </c>
      <c r="CF9" s="979">
        <v>3.3069503709257599</v>
      </c>
      <c r="CG9" s="979">
        <v>3.3310114361411798</v>
      </c>
      <c r="CH9" s="979">
        <v>3.3528025716004199</v>
      </c>
      <c r="CI9" s="979">
        <v>3.37218091262779</v>
      </c>
      <c r="CJ9" s="979">
        <v>3.3889235278065399</v>
      </c>
      <c r="CK9" s="979">
        <v>3.40662198576385</v>
      </c>
      <c r="CL9" s="979">
        <v>3.4253125699928502</v>
      </c>
      <c r="CM9" s="979">
        <v>3.44308624388484</v>
      </c>
      <c r="CN9" s="979">
        <v>3.4591427533300698</v>
      </c>
      <c r="CO9" s="979">
        <v>3.4768478267287501</v>
      </c>
      <c r="CP9" s="979">
        <v>3.4958882881861402</v>
      </c>
      <c r="CQ9" s="979">
        <v>3.5148267047188599</v>
      </c>
      <c r="CR9" s="979">
        <v>3.5333519436216898</v>
      </c>
      <c r="CS9" s="979">
        <v>3.5523020973974702</v>
      </c>
      <c r="CT9" s="979">
        <v>3.5712848420372398</v>
      </c>
      <c r="CU9" s="979">
        <v>3.5886950963833102</v>
      </c>
      <c r="CV9" s="979">
        <v>3.6061336432568099</v>
      </c>
      <c r="CW9" s="979">
        <v>3.62443922395375</v>
      </c>
      <c r="CX9" s="979">
        <v>3.64199811924524</v>
      </c>
    </row>
    <row r="10" spans="1:102">
      <c r="A10" s="977" t="s">
        <v>100</v>
      </c>
      <c r="B10" s="977" t="s">
        <v>101</v>
      </c>
      <c r="C10" s="979">
        <v>2.0050112051495002</v>
      </c>
      <c r="D10" s="979">
        <v>2.0276241163363098</v>
      </c>
      <c r="E10" s="979">
        <v>2.0363460391917001</v>
      </c>
      <c r="F10" s="979">
        <v>2.0596415110589001</v>
      </c>
      <c r="G10" s="979">
        <v>2.0733294705676499</v>
      </c>
      <c r="H10" s="979">
        <v>2.0835292799709602</v>
      </c>
      <c r="I10" s="979">
        <v>2.1195041887439401</v>
      </c>
      <c r="J10" s="979">
        <v>2.1415481300828598</v>
      </c>
      <c r="K10" s="979">
        <v>2.1562703287960399</v>
      </c>
      <c r="L10" s="979">
        <v>2.1819748269408099</v>
      </c>
      <c r="M10" s="979">
        <v>2.2029036076995201</v>
      </c>
      <c r="N10" s="979">
        <v>2.1887625047097399</v>
      </c>
      <c r="O10" s="979">
        <v>2.2060843099596301</v>
      </c>
      <c r="P10" s="979">
        <v>2.2265958098971699</v>
      </c>
      <c r="Q10" s="979">
        <v>2.2446322955459399</v>
      </c>
      <c r="R10" s="979">
        <v>2.2722619420728098</v>
      </c>
      <c r="S10" s="979">
        <v>2.2956075162666898</v>
      </c>
      <c r="T10" s="979">
        <v>2.33325183151159</v>
      </c>
      <c r="U10" s="979">
        <v>2.37203530343487</v>
      </c>
      <c r="V10" s="979">
        <v>2.3206542043126999</v>
      </c>
      <c r="W10" s="979">
        <v>2.30200743794274</v>
      </c>
      <c r="X10" s="979">
        <v>2.3133154897554</v>
      </c>
      <c r="Y10" s="979">
        <v>2.3324316109679</v>
      </c>
      <c r="Z10" s="979">
        <v>2.3514838560921301</v>
      </c>
      <c r="AA10" s="979">
        <v>2.35519698431525</v>
      </c>
      <c r="AB10" s="979">
        <v>2.3583040416960399</v>
      </c>
      <c r="AC10" s="979">
        <v>2.3659233658671601</v>
      </c>
      <c r="AD10" s="979">
        <v>2.3887196326128302</v>
      </c>
      <c r="AE10" s="979">
        <v>2.4062061518870501</v>
      </c>
      <c r="AF10" s="979">
        <v>2.44252591544041</v>
      </c>
      <c r="AG10" s="979">
        <v>2.4591685909552199</v>
      </c>
      <c r="AH10" s="979">
        <v>2.4668379437269699</v>
      </c>
      <c r="AI10" s="979">
        <v>2.4785145451270099</v>
      </c>
      <c r="AJ10" s="979">
        <v>2.4851120001921498</v>
      </c>
      <c r="AK10" s="979">
        <v>2.4964929133262999</v>
      </c>
      <c r="AL10" s="979">
        <v>2.5166188182623199</v>
      </c>
      <c r="AM10" s="979">
        <v>2.5215576130559998</v>
      </c>
      <c r="AN10" s="979">
        <v>2.52180857683138</v>
      </c>
      <c r="AO10" s="979">
        <v>2.53710244272522</v>
      </c>
      <c r="AP10" s="979">
        <v>2.54811207866496</v>
      </c>
      <c r="AQ10" s="979">
        <v>2.5620432753712001</v>
      </c>
      <c r="AR10" s="979">
        <v>2.5663852378941701</v>
      </c>
      <c r="AS10" s="979">
        <v>2.5733594694754802</v>
      </c>
      <c r="AT10" s="979">
        <v>2.5692521315192698</v>
      </c>
      <c r="AU10" s="979">
        <v>2.56015489993815</v>
      </c>
      <c r="AV10" s="979">
        <v>2.5720252475700498</v>
      </c>
      <c r="AW10" s="979">
        <v>2.5752492149967199</v>
      </c>
      <c r="AX10" s="979">
        <v>2.5757251437181501</v>
      </c>
      <c r="AY10" s="979">
        <v>2.5700308525139999</v>
      </c>
      <c r="AZ10" s="979">
        <v>2.5905788087957</v>
      </c>
      <c r="BA10" s="979">
        <v>2.60565815313538</v>
      </c>
      <c r="BB10" s="979">
        <v>2.62434040849209</v>
      </c>
      <c r="BC10" s="979">
        <v>2.6416721951751398</v>
      </c>
      <c r="BD10" s="979">
        <v>2.6438856664204402</v>
      </c>
      <c r="BE10" s="979">
        <v>2.6501699197236599</v>
      </c>
      <c r="BF10" s="979">
        <v>2.671878963438</v>
      </c>
      <c r="BG10" s="979">
        <v>2.6993222171317699</v>
      </c>
      <c r="BH10" s="979">
        <v>2.71620981134443</v>
      </c>
      <c r="BI10" s="979">
        <v>2.7288288811600601</v>
      </c>
      <c r="BJ10" s="979">
        <v>2.7428099299867101</v>
      </c>
      <c r="BK10" s="979">
        <v>2.7489205839767799</v>
      </c>
      <c r="BL10" s="979">
        <v>2.7670705452261899</v>
      </c>
      <c r="BM10" s="979">
        <v>2.7828865026935201</v>
      </c>
      <c r="BN10" s="979">
        <v>2.7968085391111699</v>
      </c>
      <c r="BO10" s="979">
        <v>2.8054288346603502</v>
      </c>
      <c r="BP10" s="979">
        <v>2.7884180402680299</v>
      </c>
      <c r="BQ10" s="979">
        <v>2.7998641580951702</v>
      </c>
      <c r="BR10" s="979">
        <v>2.8171474270444001</v>
      </c>
      <c r="BS10" s="979">
        <v>2.8438349396178499</v>
      </c>
      <c r="BT10" s="979">
        <v>2.8752551433225602</v>
      </c>
      <c r="BU10" s="979">
        <v>2.9161903655505799</v>
      </c>
      <c r="BV10" s="979">
        <v>2.9803358353475899</v>
      </c>
      <c r="BW10" s="979">
        <v>3.0354748219846401</v>
      </c>
      <c r="BX10" s="979">
        <v>3.0879962927626701</v>
      </c>
      <c r="BY10" s="979">
        <v>3.1288947779563401</v>
      </c>
      <c r="BZ10" s="979">
        <v>3.1689521453255201</v>
      </c>
      <c r="CA10" s="979">
        <v>3.2132180908257402</v>
      </c>
      <c r="CB10" s="979">
        <v>3.25896674708126</v>
      </c>
      <c r="CC10" s="979">
        <v>3.3034777774505799</v>
      </c>
      <c r="CD10" s="979">
        <v>3.3453434489013798</v>
      </c>
      <c r="CE10" s="979">
        <v>3.3774900259476199</v>
      </c>
      <c r="CF10" s="979">
        <v>3.4048512779095699</v>
      </c>
      <c r="CG10" s="979">
        <v>3.4407800351623901</v>
      </c>
      <c r="CH10" s="979">
        <v>3.47398735040258</v>
      </c>
      <c r="CI10" s="979">
        <v>3.5044008662114399</v>
      </c>
      <c r="CJ10" s="979">
        <v>3.5330772191361501</v>
      </c>
      <c r="CK10" s="979">
        <v>3.5634230457781699</v>
      </c>
      <c r="CL10" s="979">
        <v>3.5955656322911298</v>
      </c>
      <c r="CM10" s="979">
        <v>3.6267670668944598</v>
      </c>
      <c r="CN10" s="979">
        <v>3.6564651774140802</v>
      </c>
      <c r="CO10" s="979">
        <v>3.6880284570224902</v>
      </c>
      <c r="CP10" s="979">
        <v>3.7211793058714</v>
      </c>
      <c r="CQ10" s="979">
        <v>3.7542331458740299</v>
      </c>
      <c r="CR10" s="979">
        <v>3.7871254335989901</v>
      </c>
      <c r="CS10" s="979">
        <v>3.8207445239743199</v>
      </c>
      <c r="CT10" s="979">
        <v>3.8546368037687602</v>
      </c>
      <c r="CU10" s="979">
        <v>3.8872247348682101</v>
      </c>
      <c r="CV10" s="979">
        <v>3.9200735059946799</v>
      </c>
      <c r="CW10" s="979">
        <v>3.9541391739659901</v>
      </c>
      <c r="CX10" s="979">
        <v>3.9879877404770001</v>
      </c>
    </row>
    <row r="12" spans="1:102">
      <c r="C12" s="980"/>
      <c r="D12" s="980"/>
      <c r="E12" s="980"/>
      <c r="F12" s="980"/>
      <c r="G12" s="980"/>
      <c r="H12" s="980"/>
      <c r="I12" s="980"/>
      <c r="J12" s="980"/>
      <c r="K12" s="980"/>
      <c r="L12" s="980"/>
      <c r="M12" s="980"/>
      <c r="N12" s="980"/>
      <c r="O12" s="980"/>
      <c r="P12" s="980"/>
      <c r="Q12" s="980"/>
      <c r="R12" s="980"/>
      <c r="S12" s="980"/>
      <c r="T12" s="980"/>
      <c r="U12" s="980"/>
      <c r="V12" s="980"/>
      <c r="W12" s="980"/>
      <c r="X12" s="980"/>
      <c r="Y12" s="980"/>
      <c r="Z12" s="980"/>
      <c r="AA12" s="980"/>
      <c r="AB12" s="980"/>
      <c r="AC12" s="980"/>
      <c r="AD12" s="980"/>
      <c r="AE12" s="980"/>
      <c r="AF12" s="980"/>
      <c r="AG12" s="980"/>
      <c r="AH12" s="980"/>
      <c r="AI12" s="980"/>
      <c r="AJ12" s="980"/>
      <c r="AK12" s="980"/>
      <c r="AL12" s="980"/>
      <c r="AM12" s="980"/>
      <c r="AN12" s="980"/>
      <c r="AO12" s="980"/>
      <c r="AP12" s="980"/>
      <c r="AQ12" s="980"/>
      <c r="AR12" s="980"/>
      <c r="AS12" s="980"/>
      <c r="AT12" s="980"/>
    </row>
    <row r="13" spans="1:102">
      <c r="C13" s="980"/>
      <c r="D13" s="980"/>
      <c r="E13" s="980"/>
      <c r="F13" s="980"/>
      <c r="G13" s="980"/>
      <c r="H13" s="980"/>
      <c r="I13" s="980"/>
      <c r="J13" s="980"/>
      <c r="K13" s="980"/>
      <c r="L13" s="980"/>
      <c r="M13" s="980"/>
      <c r="N13" s="980"/>
      <c r="O13" s="980"/>
      <c r="P13" s="980"/>
      <c r="Q13" s="980"/>
      <c r="R13" s="980"/>
      <c r="S13" s="980"/>
      <c r="T13" s="980"/>
      <c r="U13" s="980"/>
      <c r="V13" s="980"/>
      <c r="W13" s="980"/>
      <c r="X13" s="980"/>
      <c r="Y13" s="980"/>
      <c r="Z13" s="980"/>
      <c r="AA13" s="980"/>
      <c r="AB13" s="980"/>
      <c r="AC13" s="980"/>
      <c r="AD13" s="980"/>
      <c r="AE13" s="980"/>
      <c r="AF13" s="980"/>
      <c r="AG13" s="980"/>
      <c r="AH13" s="980"/>
      <c r="AI13" s="980"/>
      <c r="AJ13" s="980"/>
      <c r="AK13" s="980"/>
      <c r="AL13" s="980"/>
      <c r="AM13" s="980"/>
      <c r="AN13" s="980"/>
      <c r="AO13" s="980"/>
      <c r="AP13" s="980"/>
      <c r="AQ13" s="980"/>
      <c r="AR13" s="980"/>
      <c r="AS13" s="980"/>
      <c r="AT13" s="980"/>
    </row>
    <row r="14" spans="1:102">
      <c r="C14" s="979"/>
      <c r="D14" s="979"/>
      <c r="E14" s="979"/>
      <c r="F14" s="979"/>
      <c r="G14" s="979"/>
      <c r="H14" s="979"/>
      <c r="I14" s="979"/>
      <c r="J14" s="979"/>
      <c r="K14" s="979"/>
      <c r="L14" s="979"/>
      <c r="M14" s="979"/>
      <c r="N14" s="979"/>
      <c r="O14" s="979"/>
      <c r="P14" s="979"/>
      <c r="Q14" s="979"/>
      <c r="R14" s="979"/>
      <c r="S14" s="979"/>
      <c r="T14" s="979"/>
      <c r="U14" s="979"/>
      <c r="V14" s="979"/>
      <c r="W14" s="979"/>
      <c r="X14" s="979"/>
      <c r="Y14" s="979"/>
      <c r="Z14" s="979"/>
      <c r="AA14" s="979"/>
      <c r="AB14" s="979"/>
      <c r="AC14" s="979"/>
      <c r="AD14" s="979"/>
      <c r="AE14" s="979"/>
      <c r="AF14" s="979"/>
      <c r="AG14" s="979"/>
      <c r="AH14" s="979"/>
      <c r="AI14" s="979"/>
      <c r="AJ14" s="979"/>
      <c r="AK14" s="979"/>
      <c r="AL14" s="979"/>
      <c r="AM14" s="979"/>
      <c r="AN14" s="979"/>
      <c r="AO14" s="979"/>
      <c r="AP14" s="979"/>
      <c r="AQ14" s="979"/>
      <c r="AR14" s="979"/>
      <c r="AS14" s="979"/>
      <c r="AT14" s="979"/>
    </row>
    <row r="15" spans="1:102">
      <c r="C15" s="979"/>
      <c r="D15" s="979"/>
      <c r="E15" s="979"/>
      <c r="F15" s="979"/>
      <c r="G15" s="979"/>
      <c r="H15" s="979"/>
      <c r="I15" s="979"/>
      <c r="J15" s="979"/>
      <c r="K15" s="979"/>
      <c r="L15" s="979"/>
      <c r="M15" s="979"/>
      <c r="N15" s="979"/>
      <c r="O15" s="979"/>
      <c r="P15" s="979"/>
      <c r="Q15" s="979"/>
      <c r="R15" s="979"/>
      <c r="S15" s="979"/>
      <c r="T15" s="979"/>
      <c r="U15" s="979"/>
      <c r="V15" s="979"/>
      <c r="W15" s="979"/>
      <c r="X15" s="979"/>
      <c r="Y15" s="979"/>
      <c r="Z15" s="979"/>
      <c r="AA15" s="979"/>
      <c r="AB15" s="979"/>
      <c r="AC15" s="979"/>
      <c r="AD15" s="979"/>
      <c r="AE15" s="979"/>
      <c r="AF15" s="979"/>
      <c r="AG15" s="979"/>
      <c r="AH15" s="979"/>
      <c r="AI15" s="979"/>
      <c r="AJ15" s="979"/>
      <c r="AK15" s="979"/>
      <c r="AL15" s="979"/>
      <c r="AM15" s="979"/>
      <c r="AN15" s="979"/>
      <c r="AO15" s="979"/>
      <c r="AP15" s="979"/>
      <c r="AQ15" s="979"/>
      <c r="AR15" s="979"/>
      <c r="AS15" s="979"/>
      <c r="AT15" s="979"/>
    </row>
    <row r="16" spans="1:102">
      <c r="C16" s="979"/>
      <c r="D16" s="979"/>
      <c r="E16" s="979"/>
      <c r="F16" s="979"/>
      <c r="G16" s="979"/>
      <c r="H16" s="979"/>
      <c r="I16" s="979"/>
      <c r="J16" s="979"/>
      <c r="K16" s="979"/>
      <c r="L16" s="979"/>
      <c r="M16" s="979"/>
      <c r="N16" s="979"/>
      <c r="O16" s="979"/>
      <c r="P16" s="979"/>
      <c r="Q16" s="979"/>
      <c r="R16" s="979"/>
      <c r="S16" s="979"/>
      <c r="T16" s="979"/>
      <c r="U16" s="979"/>
      <c r="V16" s="979"/>
      <c r="W16" s="979"/>
      <c r="X16" s="979"/>
      <c r="Y16" s="979"/>
      <c r="Z16" s="979"/>
      <c r="AA16" s="979"/>
      <c r="AB16" s="979"/>
      <c r="AC16" s="979"/>
      <c r="AD16" s="979"/>
      <c r="AE16" s="979"/>
      <c r="AF16" s="979"/>
      <c r="AG16" s="979"/>
      <c r="AH16" s="979"/>
      <c r="AI16" s="979"/>
      <c r="AJ16" s="979"/>
      <c r="AK16" s="979"/>
      <c r="AL16" s="979"/>
      <c r="AM16" s="979"/>
      <c r="AN16" s="979"/>
      <c r="AO16" s="979"/>
      <c r="AP16" s="979"/>
      <c r="AQ16" s="979"/>
      <c r="AR16" s="979"/>
      <c r="AS16" s="979"/>
      <c r="AT16" s="979"/>
      <c r="CC16" s="950" t="s">
        <v>102</v>
      </c>
      <c r="CD16" s="951"/>
      <c r="CE16" s="951"/>
      <c r="CF16" s="952" t="s">
        <v>705</v>
      </c>
      <c r="CG16" s="953"/>
      <c r="CH16" s="953"/>
      <c r="CI16" s="953"/>
      <c r="CJ16" s="953"/>
      <c r="CK16" s="953"/>
      <c r="CL16" s="951"/>
      <c r="CM16" s="951"/>
      <c r="CN16" s="951"/>
    </row>
    <row r="17" spans="3:92">
      <c r="C17" s="981"/>
      <c r="D17" s="981"/>
      <c r="E17" s="981"/>
      <c r="F17" s="981"/>
      <c r="G17" s="981"/>
      <c r="H17" s="981"/>
      <c r="I17" s="981"/>
      <c r="J17" s="981"/>
      <c r="K17" s="981"/>
      <c r="L17" s="981"/>
      <c r="M17" s="981"/>
      <c r="N17" s="981"/>
      <c r="O17" s="981"/>
      <c r="P17" s="981"/>
      <c r="Q17" s="981"/>
      <c r="R17" s="981"/>
      <c r="S17" s="981"/>
      <c r="T17" s="981"/>
      <c r="U17" s="981"/>
      <c r="V17" s="981"/>
      <c r="W17" s="981"/>
      <c r="X17" s="981"/>
      <c r="Y17" s="981"/>
      <c r="Z17" s="981"/>
      <c r="AA17" s="981"/>
      <c r="AB17" s="981"/>
      <c r="AC17" s="981"/>
      <c r="AD17" s="981"/>
      <c r="AE17" s="981"/>
      <c r="AF17" s="981"/>
      <c r="AG17" s="981"/>
      <c r="AH17" s="981"/>
      <c r="AI17" s="981"/>
      <c r="AJ17" s="981"/>
      <c r="AK17" s="981"/>
      <c r="AL17" s="981"/>
      <c r="AM17" s="981"/>
      <c r="AN17" s="981"/>
      <c r="AO17" s="981"/>
      <c r="AP17" s="981"/>
      <c r="CC17" s="954"/>
      <c r="CD17" s="955"/>
      <c r="CE17" s="955"/>
      <c r="CF17" s="955"/>
      <c r="CG17" s="955"/>
      <c r="CH17" s="955"/>
      <c r="CI17" s="955"/>
      <c r="CJ17" s="955"/>
      <c r="CK17" s="955"/>
      <c r="CL17" s="955"/>
      <c r="CM17" s="955"/>
      <c r="CN17" s="956"/>
    </row>
    <row r="18" spans="3:92">
      <c r="CC18" s="957"/>
      <c r="CD18" s="958" t="s">
        <v>103</v>
      </c>
      <c r="CE18" s="959" t="s">
        <v>672</v>
      </c>
      <c r="CF18" s="951"/>
      <c r="CG18" s="951"/>
      <c r="CH18" s="951"/>
      <c r="CI18" s="951"/>
      <c r="CJ18" s="951"/>
      <c r="CK18" s="951"/>
      <c r="CL18" s="951"/>
      <c r="CM18" s="951"/>
      <c r="CN18" s="960"/>
    </row>
    <row r="19" spans="3:92">
      <c r="CC19" s="957"/>
      <c r="CD19" s="951"/>
      <c r="CE19" s="640" t="s">
        <v>87</v>
      </c>
      <c r="CF19" s="951"/>
      <c r="CG19" s="951"/>
      <c r="CH19" s="951"/>
      <c r="CI19" s="951"/>
      <c r="CJ19" s="951"/>
      <c r="CK19" s="951"/>
      <c r="CL19" s="951"/>
      <c r="CM19" s="951"/>
      <c r="CN19" s="961" t="s">
        <v>104</v>
      </c>
    </row>
    <row r="20" spans="3:92">
      <c r="CC20" s="957"/>
      <c r="CD20" s="951"/>
      <c r="CE20" s="643">
        <f>CD9</f>
        <v>3.2707369257652799</v>
      </c>
      <c r="CF20" s="951"/>
      <c r="CG20" s="951"/>
      <c r="CH20" s="951"/>
      <c r="CI20" s="951"/>
      <c r="CJ20" s="951"/>
      <c r="CK20" s="951"/>
      <c r="CL20" s="951"/>
      <c r="CM20" s="951"/>
      <c r="CN20" s="962">
        <f>CE20</f>
        <v>3.2707369257652799</v>
      </c>
    </row>
    <row r="21" spans="3:92">
      <c r="CC21" s="957"/>
      <c r="CD21" s="951"/>
      <c r="CE21" s="951"/>
      <c r="CF21" s="951"/>
      <c r="CG21" s="951"/>
      <c r="CH21" s="951"/>
      <c r="CI21" s="951"/>
      <c r="CJ21" s="951"/>
      <c r="CK21" s="951"/>
      <c r="CL21" s="951"/>
      <c r="CM21" s="951"/>
      <c r="CN21" s="963"/>
    </row>
    <row r="22" spans="3:92">
      <c r="CC22" s="1064" t="s">
        <v>105</v>
      </c>
      <c r="CD22" s="1065"/>
      <c r="CE22" s="1065"/>
      <c r="CF22" s="951" t="s">
        <v>673</v>
      </c>
      <c r="CG22" s="951"/>
      <c r="CH22" s="951"/>
      <c r="CI22" s="951"/>
      <c r="CJ22" s="951"/>
      <c r="CK22" s="951"/>
      <c r="CL22" s="951"/>
      <c r="CM22" s="951"/>
      <c r="CN22" s="963"/>
    </row>
    <row r="23" spans="3:92">
      <c r="CC23" s="964"/>
      <c r="CD23" s="958"/>
      <c r="CE23" s="970" t="str">
        <f>CE7</f>
        <v>2024Q1</v>
      </c>
      <c r="CF23" s="970" t="str">
        <f t="shared" ref="CF23:CL23" si="0">CF7</f>
        <v>2024Q2</v>
      </c>
      <c r="CG23" s="970" t="str">
        <f t="shared" si="0"/>
        <v>2024Q3</v>
      </c>
      <c r="CH23" s="970" t="str">
        <f t="shared" si="0"/>
        <v>2024Q4</v>
      </c>
      <c r="CI23" s="970" t="str">
        <f t="shared" si="0"/>
        <v>2025Q1</v>
      </c>
      <c r="CJ23" s="970" t="str">
        <f t="shared" si="0"/>
        <v>2025Q2</v>
      </c>
      <c r="CK23" s="970" t="str">
        <f t="shared" si="0"/>
        <v>2025Q3</v>
      </c>
      <c r="CL23" s="970" t="str">
        <f t="shared" si="0"/>
        <v>2025Q4</v>
      </c>
      <c r="CM23" s="951"/>
      <c r="CN23" s="963"/>
    </row>
    <row r="24" spans="3:92">
      <c r="CC24" s="957"/>
      <c r="CD24" s="951"/>
      <c r="CE24" s="627">
        <f>CE9</f>
        <v>3.2911977168238602</v>
      </c>
      <c r="CF24" s="627">
        <f t="shared" ref="CF24:CL24" si="1">CF9</f>
        <v>3.3069503709257599</v>
      </c>
      <c r="CG24" s="627">
        <f t="shared" si="1"/>
        <v>3.3310114361411798</v>
      </c>
      <c r="CH24" s="627">
        <f t="shared" si="1"/>
        <v>3.3528025716004199</v>
      </c>
      <c r="CI24" s="627">
        <f t="shared" si="1"/>
        <v>3.37218091262779</v>
      </c>
      <c r="CJ24" s="627">
        <f t="shared" si="1"/>
        <v>3.3889235278065399</v>
      </c>
      <c r="CK24" s="627">
        <f t="shared" si="1"/>
        <v>3.40662198576385</v>
      </c>
      <c r="CL24" s="627">
        <f t="shared" si="1"/>
        <v>3.4253125699928502</v>
      </c>
      <c r="CM24" s="951"/>
      <c r="CN24" s="962">
        <f>AVERAGE(CE24:CL24)</f>
        <v>3.3593751364602813</v>
      </c>
    </row>
    <row r="25" spans="3:92">
      <c r="CC25" s="957"/>
      <c r="CD25" s="951"/>
      <c r="CE25" s="951"/>
      <c r="CF25" s="951"/>
      <c r="CG25" s="951"/>
      <c r="CH25" s="951"/>
      <c r="CI25" s="951"/>
      <c r="CJ25" s="951"/>
      <c r="CK25" s="951"/>
      <c r="CL25" s="951"/>
      <c r="CM25" s="951"/>
      <c r="CN25" s="963"/>
    </row>
    <row r="26" spans="3:92">
      <c r="CC26" s="957"/>
      <c r="CD26" s="951"/>
      <c r="CE26" s="951"/>
      <c r="CF26" s="951"/>
      <c r="CG26" s="951"/>
      <c r="CH26" s="951"/>
      <c r="CI26" s="951"/>
      <c r="CJ26" s="951"/>
      <c r="CK26" s="951"/>
      <c r="CL26" s="951"/>
      <c r="CM26" s="965" t="s">
        <v>106</v>
      </c>
      <c r="CN26" s="966">
        <f>(CN24-CN20)/CN20</f>
        <v>2.7100379121522307E-2</v>
      </c>
    </row>
    <row r="27" spans="3:92">
      <c r="CC27" s="967"/>
      <c r="CD27" s="968"/>
      <c r="CE27" s="968"/>
      <c r="CF27" s="968"/>
      <c r="CG27" s="968"/>
      <c r="CH27" s="968"/>
      <c r="CI27" s="968"/>
      <c r="CJ27" s="968"/>
      <c r="CK27" s="968"/>
      <c r="CL27" s="968"/>
      <c r="CM27" s="968"/>
      <c r="CN27" s="969"/>
    </row>
    <row r="32" spans="3:92">
      <c r="CC32" s="629"/>
      <c r="CD32" s="630"/>
      <c r="CE32" s="630"/>
      <c r="CF32" s="631"/>
      <c r="CG32" s="632"/>
      <c r="CH32" s="632"/>
      <c r="CI32" s="632"/>
      <c r="CJ32" s="632"/>
      <c r="CK32" s="632"/>
      <c r="CL32" s="630"/>
      <c r="CM32" s="630"/>
      <c r="CN32" s="630"/>
    </row>
    <row r="33" spans="81:92">
      <c r="CC33" s="630"/>
      <c r="CD33" s="630"/>
      <c r="CE33" s="630"/>
      <c r="CF33" s="630"/>
      <c r="CG33" s="630"/>
      <c r="CH33" s="630"/>
      <c r="CI33" s="630"/>
      <c r="CJ33" s="630"/>
      <c r="CK33" s="630"/>
      <c r="CL33" s="630"/>
      <c r="CM33" s="630"/>
      <c r="CN33" s="630"/>
    </row>
    <row r="34" spans="81:92">
      <c r="CC34" s="630"/>
      <c r="CD34" s="637"/>
      <c r="CE34" s="638"/>
      <c r="CF34" s="630"/>
      <c r="CG34" s="630"/>
      <c r="CH34" s="630"/>
      <c r="CI34" s="630"/>
      <c r="CJ34" s="630"/>
      <c r="CK34" s="630"/>
      <c r="CL34" s="630"/>
      <c r="CM34" s="630"/>
      <c r="CN34" s="630"/>
    </row>
    <row r="35" spans="81:92">
      <c r="CC35" s="630"/>
      <c r="CD35" s="630"/>
      <c r="CE35" s="640"/>
      <c r="CF35" s="630"/>
      <c r="CG35" s="630"/>
      <c r="CH35" s="630"/>
      <c r="CI35" s="630"/>
      <c r="CJ35" s="630"/>
      <c r="CK35" s="630"/>
      <c r="CL35" s="630"/>
      <c r="CM35" s="630"/>
      <c r="CN35" s="1042"/>
    </row>
    <row r="36" spans="81:92">
      <c r="CC36" s="630"/>
      <c r="CD36" s="630"/>
      <c r="CE36" s="627"/>
      <c r="CF36" s="630"/>
      <c r="CG36" s="630"/>
      <c r="CH36" s="630"/>
      <c r="CI36" s="630"/>
      <c r="CJ36" s="630"/>
      <c r="CK36" s="630"/>
      <c r="CL36" s="630"/>
      <c r="CM36" s="630"/>
      <c r="CN36" s="1043"/>
    </row>
    <row r="37" spans="81:92">
      <c r="CC37" s="630"/>
      <c r="CD37" s="630"/>
      <c r="CE37" s="630"/>
      <c r="CF37" s="630"/>
      <c r="CG37" s="630"/>
      <c r="CH37" s="630"/>
      <c r="CI37" s="630"/>
      <c r="CJ37" s="630"/>
      <c r="CK37" s="630"/>
      <c r="CL37" s="630"/>
      <c r="CM37" s="630"/>
      <c r="CN37" s="1044"/>
    </row>
    <row r="38" spans="81:92">
      <c r="CC38" s="1066"/>
      <c r="CD38" s="1066"/>
      <c r="CE38" s="1066"/>
      <c r="CF38" s="630"/>
      <c r="CG38" s="630"/>
      <c r="CH38" s="630"/>
      <c r="CI38" s="630"/>
      <c r="CJ38" s="630"/>
      <c r="CK38" s="630"/>
      <c r="CL38" s="630"/>
      <c r="CM38" s="630"/>
      <c r="CN38" s="1044"/>
    </row>
    <row r="39" spans="81:92">
      <c r="CC39" s="637"/>
      <c r="CD39" s="637"/>
      <c r="CE39" s="647"/>
      <c r="CF39" s="647"/>
      <c r="CG39" s="647"/>
      <c r="CH39" s="647"/>
      <c r="CI39" s="647"/>
      <c r="CJ39" s="647"/>
      <c r="CK39" s="647"/>
      <c r="CL39" s="647"/>
      <c r="CM39" s="630"/>
      <c r="CN39" s="1044"/>
    </row>
    <row r="40" spans="81:92">
      <c r="CC40" s="630"/>
      <c r="CD40" s="630"/>
      <c r="CE40" s="627"/>
      <c r="CF40" s="627"/>
      <c r="CG40" s="627"/>
      <c r="CH40" s="627"/>
      <c r="CI40" s="627"/>
      <c r="CJ40" s="627"/>
      <c r="CK40" s="627"/>
      <c r="CL40" s="627"/>
      <c r="CM40" s="630"/>
      <c r="CN40" s="1043"/>
    </row>
    <row r="41" spans="81:92">
      <c r="CC41" s="630"/>
      <c r="CD41" s="630"/>
      <c r="CE41" s="630"/>
      <c r="CF41" s="630"/>
      <c r="CG41" s="630"/>
      <c r="CH41" s="630"/>
      <c r="CI41" s="630"/>
      <c r="CJ41" s="630"/>
      <c r="CK41" s="630"/>
      <c r="CL41" s="630"/>
      <c r="CM41" s="630"/>
      <c r="CN41" s="1044"/>
    </row>
    <row r="42" spans="81:92">
      <c r="CC42" s="630"/>
      <c r="CD42" s="630"/>
      <c r="CE42" s="630"/>
      <c r="CF42" s="630"/>
      <c r="CG42" s="630"/>
      <c r="CH42" s="630"/>
      <c r="CI42" s="630"/>
      <c r="CJ42" s="630"/>
      <c r="CK42" s="630"/>
      <c r="CL42" s="630"/>
      <c r="CM42" s="1045"/>
      <c r="CN42" s="1046"/>
    </row>
    <row r="43" spans="81:92">
      <c r="CC43" s="630"/>
      <c r="CD43" s="630"/>
      <c r="CE43" s="630"/>
      <c r="CF43" s="630"/>
      <c r="CG43" s="630"/>
      <c r="CH43" s="630"/>
      <c r="CI43" s="630"/>
      <c r="CJ43" s="630"/>
      <c r="CK43" s="630"/>
      <c r="CL43" s="630"/>
      <c r="CM43" s="630"/>
      <c r="CN43" s="630"/>
    </row>
  </sheetData>
  <mergeCells count="3">
    <mergeCell ref="A1:B1"/>
    <mergeCell ref="CC22:CE22"/>
    <mergeCell ref="CC38:CE38"/>
  </mergeCells>
  <pageMargins left="0.25" right="0.25" top="1" bottom="1" header="0.5" footer="0.5"/>
  <pageSetup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5283B-DEFA-48E8-BFAD-03013D9F6CFD}">
  <sheetPr>
    <tabColor rgb="FF92D050"/>
    <pageSetUpPr fitToPage="1"/>
  </sheetPr>
  <dimension ref="A1:AD67"/>
  <sheetViews>
    <sheetView tabSelected="1" topLeftCell="G1" zoomScaleNormal="100" workbookViewId="0">
      <selection activeCell="AB31" sqref="AB31"/>
    </sheetView>
  </sheetViews>
  <sheetFormatPr defaultRowHeight="15"/>
  <cols>
    <col min="1" max="1" width="1.5703125" style="1" hidden="1" customWidth="1"/>
    <col min="2" max="2" width="25.5703125" style="1" hidden="1" customWidth="1"/>
    <col min="3" max="3" width="17.140625" style="1" hidden="1" customWidth="1"/>
    <col min="4" max="4" width="14" style="1" hidden="1" customWidth="1"/>
    <col min="5" max="5" width="13.5703125" style="1" hidden="1" customWidth="1"/>
    <col min="6" max="6" width="16.85546875" style="1" hidden="1" customWidth="1"/>
    <col min="7" max="7" width="8" style="1" customWidth="1"/>
    <col min="8" max="9" width="16.85546875" style="1" customWidth="1"/>
    <col min="10" max="10" width="14.42578125" style="1" customWidth="1"/>
    <col min="11" max="11" width="12.7109375" style="1" customWidth="1"/>
    <col min="12" max="12" width="16.85546875" style="1" customWidth="1"/>
    <col min="13" max="14" width="16.85546875" style="1" hidden="1" customWidth="1"/>
    <col min="15" max="15" width="10.42578125" style="1" hidden="1" customWidth="1"/>
    <col min="16" max="16" width="32.42578125" style="1" hidden="1" customWidth="1"/>
    <col min="17" max="17" width="0" style="1" hidden="1" customWidth="1"/>
    <col min="18" max="18" width="12.140625" style="1" hidden="1" customWidth="1"/>
    <col min="19" max="19" width="10.140625" style="1" hidden="1" customWidth="1"/>
    <col min="20" max="20" width="12.5703125" style="1" hidden="1" customWidth="1"/>
    <col min="21" max="21" width="10.42578125" style="1" hidden="1" customWidth="1"/>
    <col min="22" max="22" width="8.7109375" style="1"/>
    <col min="23" max="23" width="36" style="1" customWidth="1"/>
    <col min="24" max="24" width="12.42578125" style="1" bestFit="1" customWidth="1"/>
    <col min="25" max="27" width="8.7109375" style="1"/>
    <col min="28" max="28" width="47.85546875" style="1" customWidth="1"/>
    <col min="29" max="264" width="8.7109375" style="1"/>
    <col min="265" max="265" width="25.5703125" style="1" customWidth="1"/>
    <col min="266" max="266" width="17.140625" style="1" customWidth="1"/>
    <col min="267" max="267" width="14" style="1" customWidth="1"/>
    <col min="268" max="268" width="13.5703125" style="1" customWidth="1"/>
    <col min="269" max="269" width="16.85546875" style="1" customWidth="1"/>
    <col min="270" max="520" width="8.7109375" style="1"/>
    <col min="521" max="521" width="25.5703125" style="1" customWidth="1"/>
    <col min="522" max="522" width="17.140625" style="1" customWidth="1"/>
    <col min="523" max="523" width="14" style="1" customWidth="1"/>
    <col min="524" max="524" width="13.5703125" style="1" customWidth="1"/>
    <col min="525" max="525" width="16.85546875" style="1" customWidth="1"/>
    <col min="526" max="776" width="8.7109375" style="1"/>
    <col min="777" max="777" width="25.5703125" style="1" customWidth="1"/>
    <col min="778" max="778" width="17.140625" style="1" customWidth="1"/>
    <col min="779" max="779" width="14" style="1" customWidth="1"/>
    <col min="780" max="780" width="13.5703125" style="1" customWidth="1"/>
    <col min="781" max="781" width="16.85546875" style="1" customWidth="1"/>
    <col min="782" max="1032" width="8.7109375" style="1"/>
    <col min="1033" max="1033" width="25.5703125" style="1" customWidth="1"/>
    <col min="1034" max="1034" width="17.140625" style="1" customWidth="1"/>
    <col min="1035" max="1035" width="14" style="1" customWidth="1"/>
    <col min="1036" max="1036" width="13.5703125" style="1" customWidth="1"/>
    <col min="1037" max="1037" width="16.85546875" style="1" customWidth="1"/>
    <col min="1038" max="1288" width="8.7109375" style="1"/>
    <col min="1289" max="1289" width="25.5703125" style="1" customWidth="1"/>
    <col min="1290" max="1290" width="17.140625" style="1" customWidth="1"/>
    <col min="1291" max="1291" width="14" style="1" customWidth="1"/>
    <col min="1292" max="1292" width="13.5703125" style="1" customWidth="1"/>
    <col min="1293" max="1293" width="16.85546875" style="1" customWidth="1"/>
    <col min="1294" max="1544" width="8.7109375" style="1"/>
    <col min="1545" max="1545" width="25.5703125" style="1" customWidth="1"/>
    <col min="1546" max="1546" width="17.140625" style="1" customWidth="1"/>
    <col min="1547" max="1547" width="14" style="1" customWidth="1"/>
    <col min="1548" max="1548" width="13.5703125" style="1" customWidth="1"/>
    <col min="1549" max="1549" width="16.85546875" style="1" customWidth="1"/>
    <col min="1550" max="1800" width="8.7109375" style="1"/>
    <col min="1801" max="1801" width="25.5703125" style="1" customWidth="1"/>
    <col min="1802" max="1802" width="17.140625" style="1" customWidth="1"/>
    <col min="1803" max="1803" width="14" style="1" customWidth="1"/>
    <col min="1804" max="1804" width="13.5703125" style="1" customWidth="1"/>
    <col min="1805" max="1805" width="16.85546875" style="1" customWidth="1"/>
    <col min="1806" max="2056" width="8.7109375" style="1"/>
    <col min="2057" max="2057" width="25.5703125" style="1" customWidth="1"/>
    <col min="2058" max="2058" width="17.140625" style="1" customWidth="1"/>
    <col min="2059" max="2059" width="14" style="1" customWidth="1"/>
    <col min="2060" max="2060" width="13.5703125" style="1" customWidth="1"/>
    <col min="2061" max="2061" width="16.85546875" style="1" customWidth="1"/>
    <col min="2062" max="2312" width="8.7109375" style="1"/>
    <col min="2313" max="2313" width="25.5703125" style="1" customWidth="1"/>
    <col min="2314" max="2314" width="17.140625" style="1" customWidth="1"/>
    <col min="2315" max="2315" width="14" style="1" customWidth="1"/>
    <col min="2316" max="2316" width="13.5703125" style="1" customWidth="1"/>
    <col min="2317" max="2317" width="16.85546875" style="1" customWidth="1"/>
    <col min="2318" max="2568" width="8.7109375" style="1"/>
    <col min="2569" max="2569" width="25.5703125" style="1" customWidth="1"/>
    <col min="2570" max="2570" width="17.140625" style="1" customWidth="1"/>
    <col min="2571" max="2571" width="14" style="1" customWidth="1"/>
    <col min="2572" max="2572" width="13.5703125" style="1" customWidth="1"/>
    <col min="2573" max="2573" width="16.85546875" style="1" customWidth="1"/>
    <col min="2574" max="2824" width="8.7109375" style="1"/>
    <col min="2825" max="2825" width="25.5703125" style="1" customWidth="1"/>
    <col min="2826" max="2826" width="17.140625" style="1" customWidth="1"/>
    <col min="2827" max="2827" width="14" style="1" customWidth="1"/>
    <col min="2828" max="2828" width="13.5703125" style="1" customWidth="1"/>
    <col min="2829" max="2829" width="16.85546875" style="1" customWidth="1"/>
    <col min="2830" max="3080" width="8.7109375" style="1"/>
    <col min="3081" max="3081" width="25.5703125" style="1" customWidth="1"/>
    <col min="3082" max="3082" width="17.140625" style="1" customWidth="1"/>
    <col min="3083" max="3083" width="14" style="1" customWidth="1"/>
    <col min="3084" max="3084" width="13.5703125" style="1" customWidth="1"/>
    <col min="3085" max="3085" width="16.85546875" style="1" customWidth="1"/>
    <col min="3086" max="3336" width="8.7109375" style="1"/>
    <col min="3337" max="3337" width="25.5703125" style="1" customWidth="1"/>
    <col min="3338" max="3338" width="17.140625" style="1" customWidth="1"/>
    <col min="3339" max="3339" width="14" style="1" customWidth="1"/>
    <col min="3340" max="3340" width="13.5703125" style="1" customWidth="1"/>
    <col min="3341" max="3341" width="16.85546875" style="1" customWidth="1"/>
    <col min="3342" max="3592" width="8.7109375" style="1"/>
    <col min="3593" max="3593" width="25.5703125" style="1" customWidth="1"/>
    <col min="3594" max="3594" width="17.140625" style="1" customWidth="1"/>
    <col min="3595" max="3595" width="14" style="1" customWidth="1"/>
    <col min="3596" max="3596" width="13.5703125" style="1" customWidth="1"/>
    <col min="3597" max="3597" width="16.85546875" style="1" customWidth="1"/>
    <col min="3598" max="3848" width="8.7109375" style="1"/>
    <col min="3849" max="3849" width="25.5703125" style="1" customWidth="1"/>
    <col min="3850" max="3850" width="17.140625" style="1" customWidth="1"/>
    <col min="3851" max="3851" width="14" style="1" customWidth="1"/>
    <col min="3852" max="3852" width="13.5703125" style="1" customWidth="1"/>
    <col min="3853" max="3853" width="16.85546875" style="1" customWidth="1"/>
    <col min="3854" max="4104" width="8.7109375" style="1"/>
    <col min="4105" max="4105" width="25.5703125" style="1" customWidth="1"/>
    <col min="4106" max="4106" width="17.140625" style="1" customWidth="1"/>
    <col min="4107" max="4107" width="14" style="1" customWidth="1"/>
    <col min="4108" max="4108" width="13.5703125" style="1" customWidth="1"/>
    <col min="4109" max="4109" width="16.85546875" style="1" customWidth="1"/>
    <col min="4110" max="4360" width="8.7109375" style="1"/>
    <col min="4361" max="4361" width="25.5703125" style="1" customWidth="1"/>
    <col min="4362" max="4362" width="17.140625" style="1" customWidth="1"/>
    <col min="4363" max="4363" width="14" style="1" customWidth="1"/>
    <col min="4364" max="4364" width="13.5703125" style="1" customWidth="1"/>
    <col min="4365" max="4365" width="16.85546875" style="1" customWidth="1"/>
    <col min="4366" max="4616" width="8.7109375" style="1"/>
    <col min="4617" max="4617" width="25.5703125" style="1" customWidth="1"/>
    <col min="4618" max="4618" width="17.140625" style="1" customWidth="1"/>
    <col min="4619" max="4619" width="14" style="1" customWidth="1"/>
    <col min="4620" max="4620" width="13.5703125" style="1" customWidth="1"/>
    <col min="4621" max="4621" width="16.85546875" style="1" customWidth="1"/>
    <col min="4622" max="4872" width="8.7109375" style="1"/>
    <col min="4873" max="4873" width="25.5703125" style="1" customWidth="1"/>
    <col min="4874" max="4874" width="17.140625" style="1" customWidth="1"/>
    <col min="4875" max="4875" width="14" style="1" customWidth="1"/>
    <col min="4876" max="4876" width="13.5703125" style="1" customWidth="1"/>
    <col min="4877" max="4877" width="16.85546875" style="1" customWidth="1"/>
    <col min="4878" max="5128" width="8.7109375" style="1"/>
    <col min="5129" max="5129" width="25.5703125" style="1" customWidth="1"/>
    <col min="5130" max="5130" width="17.140625" style="1" customWidth="1"/>
    <col min="5131" max="5131" width="14" style="1" customWidth="1"/>
    <col min="5132" max="5132" width="13.5703125" style="1" customWidth="1"/>
    <col min="5133" max="5133" width="16.85546875" style="1" customWidth="1"/>
    <col min="5134" max="5384" width="8.7109375" style="1"/>
    <col min="5385" max="5385" width="25.5703125" style="1" customWidth="1"/>
    <col min="5386" max="5386" width="17.140625" style="1" customWidth="1"/>
    <col min="5387" max="5387" width="14" style="1" customWidth="1"/>
    <col min="5388" max="5388" width="13.5703125" style="1" customWidth="1"/>
    <col min="5389" max="5389" width="16.85546875" style="1" customWidth="1"/>
    <col min="5390" max="5640" width="8.7109375" style="1"/>
    <col min="5641" max="5641" width="25.5703125" style="1" customWidth="1"/>
    <col min="5642" max="5642" width="17.140625" style="1" customWidth="1"/>
    <col min="5643" max="5643" width="14" style="1" customWidth="1"/>
    <col min="5644" max="5644" width="13.5703125" style="1" customWidth="1"/>
    <col min="5645" max="5645" width="16.85546875" style="1" customWidth="1"/>
    <col min="5646" max="5896" width="8.7109375" style="1"/>
    <col min="5897" max="5897" width="25.5703125" style="1" customWidth="1"/>
    <col min="5898" max="5898" width="17.140625" style="1" customWidth="1"/>
    <col min="5899" max="5899" width="14" style="1" customWidth="1"/>
    <col min="5900" max="5900" width="13.5703125" style="1" customWidth="1"/>
    <col min="5901" max="5901" width="16.85546875" style="1" customWidth="1"/>
    <col min="5902" max="6152" width="8.7109375" style="1"/>
    <col min="6153" max="6153" width="25.5703125" style="1" customWidth="1"/>
    <col min="6154" max="6154" width="17.140625" style="1" customWidth="1"/>
    <col min="6155" max="6155" width="14" style="1" customWidth="1"/>
    <col min="6156" max="6156" width="13.5703125" style="1" customWidth="1"/>
    <col min="6157" max="6157" width="16.85546875" style="1" customWidth="1"/>
    <col min="6158" max="6408" width="8.7109375" style="1"/>
    <col min="6409" max="6409" width="25.5703125" style="1" customWidth="1"/>
    <col min="6410" max="6410" width="17.140625" style="1" customWidth="1"/>
    <col min="6411" max="6411" width="14" style="1" customWidth="1"/>
    <col min="6412" max="6412" width="13.5703125" style="1" customWidth="1"/>
    <col min="6413" max="6413" width="16.85546875" style="1" customWidth="1"/>
    <col min="6414" max="6664" width="8.7109375" style="1"/>
    <col min="6665" max="6665" width="25.5703125" style="1" customWidth="1"/>
    <col min="6666" max="6666" width="17.140625" style="1" customWidth="1"/>
    <col min="6667" max="6667" width="14" style="1" customWidth="1"/>
    <col min="6668" max="6668" width="13.5703125" style="1" customWidth="1"/>
    <col min="6669" max="6669" width="16.85546875" style="1" customWidth="1"/>
    <col min="6670" max="6920" width="8.7109375" style="1"/>
    <col min="6921" max="6921" width="25.5703125" style="1" customWidth="1"/>
    <col min="6922" max="6922" width="17.140625" style="1" customWidth="1"/>
    <col min="6923" max="6923" width="14" style="1" customWidth="1"/>
    <col min="6924" max="6924" width="13.5703125" style="1" customWidth="1"/>
    <col min="6925" max="6925" width="16.85546875" style="1" customWidth="1"/>
    <col min="6926" max="7176" width="8.7109375" style="1"/>
    <col min="7177" max="7177" width="25.5703125" style="1" customWidth="1"/>
    <col min="7178" max="7178" width="17.140625" style="1" customWidth="1"/>
    <col min="7179" max="7179" width="14" style="1" customWidth="1"/>
    <col min="7180" max="7180" width="13.5703125" style="1" customWidth="1"/>
    <col min="7181" max="7181" width="16.85546875" style="1" customWidth="1"/>
    <col min="7182" max="7432" width="8.7109375" style="1"/>
    <col min="7433" max="7433" width="25.5703125" style="1" customWidth="1"/>
    <col min="7434" max="7434" width="17.140625" style="1" customWidth="1"/>
    <col min="7435" max="7435" width="14" style="1" customWidth="1"/>
    <col min="7436" max="7436" width="13.5703125" style="1" customWidth="1"/>
    <col min="7437" max="7437" width="16.85546875" style="1" customWidth="1"/>
    <col min="7438" max="7688" width="8.7109375" style="1"/>
    <col min="7689" max="7689" width="25.5703125" style="1" customWidth="1"/>
    <col min="7690" max="7690" width="17.140625" style="1" customWidth="1"/>
    <col min="7691" max="7691" width="14" style="1" customWidth="1"/>
    <col min="7692" max="7692" width="13.5703125" style="1" customWidth="1"/>
    <col min="7693" max="7693" width="16.85546875" style="1" customWidth="1"/>
    <col min="7694" max="7944" width="8.7109375" style="1"/>
    <col min="7945" max="7945" width="25.5703125" style="1" customWidth="1"/>
    <col min="7946" max="7946" width="17.140625" style="1" customWidth="1"/>
    <col min="7947" max="7947" width="14" style="1" customWidth="1"/>
    <col min="7948" max="7948" width="13.5703125" style="1" customWidth="1"/>
    <col min="7949" max="7949" width="16.85546875" style="1" customWidth="1"/>
    <col min="7950" max="8200" width="8.7109375" style="1"/>
    <col min="8201" max="8201" width="25.5703125" style="1" customWidth="1"/>
    <col min="8202" max="8202" width="17.140625" style="1" customWidth="1"/>
    <col min="8203" max="8203" width="14" style="1" customWidth="1"/>
    <col min="8204" max="8204" width="13.5703125" style="1" customWidth="1"/>
    <col min="8205" max="8205" width="16.85546875" style="1" customWidth="1"/>
    <col min="8206" max="8456" width="8.7109375" style="1"/>
    <col min="8457" max="8457" width="25.5703125" style="1" customWidth="1"/>
    <col min="8458" max="8458" width="17.140625" style="1" customWidth="1"/>
    <col min="8459" max="8459" width="14" style="1" customWidth="1"/>
    <col min="8460" max="8460" width="13.5703125" style="1" customWidth="1"/>
    <col min="8461" max="8461" width="16.85546875" style="1" customWidth="1"/>
    <col min="8462" max="8712" width="8.7109375" style="1"/>
    <col min="8713" max="8713" width="25.5703125" style="1" customWidth="1"/>
    <col min="8714" max="8714" width="17.140625" style="1" customWidth="1"/>
    <col min="8715" max="8715" width="14" style="1" customWidth="1"/>
    <col min="8716" max="8716" width="13.5703125" style="1" customWidth="1"/>
    <col min="8717" max="8717" width="16.85546875" style="1" customWidth="1"/>
    <col min="8718" max="8968" width="8.7109375" style="1"/>
    <col min="8969" max="8969" width="25.5703125" style="1" customWidth="1"/>
    <col min="8970" max="8970" width="17.140625" style="1" customWidth="1"/>
    <col min="8971" max="8971" width="14" style="1" customWidth="1"/>
    <col min="8972" max="8972" width="13.5703125" style="1" customWidth="1"/>
    <col min="8973" max="8973" width="16.85546875" style="1" customWidth="1"/>
    <col min="8974" max="9224" width="8.7109375" style="1"/>
    <col min="9225" max="9225" width="25.5703125" style="1" customWidth="1"/>
    <col min="9226" max="9226" width="17.140625" style="1" customWidth="1"/>
    <col min="9227" max="9227" width="14" style="1" customWidth="1"/>
    <col min="9228" max="9228" width="13.5703125" style="1" customWidth="1"/>
    <col min="9229" max="9229" width="16.85546875" style="1" customWidth="1"/>
    <col min="9230" max="9480" width="8.7109375" style="1"/>
    <col min="9481" max="9481" width="25.5703125" style="1" customWidth="1"/>
    <col min="9482" max="9482" width="17.140625" style="1" customWidth="1"/>
    <col min="9483" max="9483" width="14" style="1" customWidth="1"/>
    <col min="9484" max="9484" width="13.5703125" style="1" customWidth="1"/>
    <col min="9485" max="9485" width="16.85546875" style="1" customWidth="1"/>
    <col min="9486" max="9736" width="8.7109375" style="1"/>
    <col min="9737" max="9737" width="25.5703125" style="1" customWidth="1"/>
    <col min="9738" max="9738" width="17.140625" style="1" customWidth="1"/>
    <col min="9739" max="9739" width="14" style="1" customWidth="1"/>
    <col min="9740" max="9740" width="13.5703125" style="1" customWidth="1"/>
    <col min="9741" max="9741" width="16.85546875" style="1" customWidth="1"/>
    <col min="9742" max="9992" width="8.7109375" style="1"/>
    <col min="9993" max="9993" width="25.5703125" style="1" customWidth="1"/>
    <col min="9994" max="9994" width="17.140625" style="1" customWidth="1"/>
    <col min="9995" max="9995" width="14" style="1" customWidth="1"/>
    <col min="9996" max="9996" width="13.5703125" style="1" customWidth="1"/>
    <col min="9997" max="9997" width="16.85546875" style="1" customWidth="1"/>
    <col min="9998" max="10248" width="8.7109375" style="1"/>
    <col min="10249" max="10249" width="25.5703125" style="1" customWidth="1"/>
    <col min="10250" max="10250" width="17.140625" style="1" customWidth="1"/>
    <col min="10251" max="10251" width="14" style="1" customWidth="1"/>
    <col min="10252" max="10252" width="13.5703125" style="1" customWidth="1"/>
    <col min="10253" max="10253" width="16.85546875" style="1" customWidth="1"/>
    <col min="10254" max="10504" width="8.7109375" style="1"/>
    <col min="10505" max="10505" width="25.5703125" style="1" customWidth="1"/>
    <col min="10506" max="10506" width="17.140625" style="1" customWidth="1"/>
    <col min="10507" max="10507" width="14" style="1" customWidth="1"/>
    <col min="10508" max="10508" width="13.5703125" style="1" customWidth="1"/>
    <col min="10509" max="10509" width="16.85546875" style="1" customWidth="1"/>
    <col min="10510" max="10760" width="8.7109375" style="1"/>
    <col min="10761" max="10761" width="25.5703125" style="1" customWidth="1"/>
    <col min="10762" max="10762" width="17.140625" style="1" customWidth="1"/>
    <col min="10763" max="10763" width="14" style="1" customWidth="1"/>
    <col min="10764" max="10764" width="13.5703125" style="1" customWidth="1"/>
    <col min="10765" max="10765" width="16.85546875" style="1" customWidth="1"/>
    <col min="10766" max="11016" width="8.7109375" style="1"/>
    <col min="11017" max="11017" width="25.5703125" style="1" customWidth="1"/>
    <col min="11018" max="11018" width="17.140625" style="1" customWidth="1"/>
    <col min="11019" max="11019" width="14" style="1" customWidth="1"/>
    <col min="11020" max="11020" width="13.5703125" style="1" customWidth="1"/>
    <col min="11021" max="11021" width="16.85546875" style="1" customWidth="1"/>
    <col min="11022" max="11272" width="8.7109375" style="1"/>
    <col min="11273" max="11273" width="25.5703125" style="1" customWidth="1"/>
    <col min="11274" max="11274" width="17.140625" style="1" customWidth="1"/>
    <col min="11275" max="11275" width="14" style="1" customWidth="1"/>
    <col min="11276" max="11276" width="13.5703125" style="1" customWidth="1"/>
    <col min="11277" max="11277" width="16.85546875" style="1" customWidth="1"/>
    <col min="11278" max="11528" width="8.7109375" style="1"/>
    <col min="11529" max="11529" width="25.5703125" style="1" customWidth="1"/>
    <col min="11530" max="11530" width="17.140625" style="1" customWidth="1"/>
    <col min="11531" max="11531" width="14" style="1" customWidth="1"/>
    <col min="11532" max="11532" width="13.5703125" style="1" customWidth="1"/>
    <col min="11533" max="11533" width="16.85546875" style="1" customWidth="1"/>
    <col min="11534" max="11784" width="8.7109375" style="1"/>
    <col min="11785" max="11785" width="25.5703125" style="1" customWidth="1"/>
    <col min="11786" max="11786" width="17.140625" style="1" customWidth="1"/>
    <col min="11787" max="11787" width="14" style="1" customWidth="1"/>
    <col min="11788" max="11788" width="13.5703125" style="1" customWidth="1"/>
    <col min="11789" max="11789" width="16.85546875" style="1" customWidth="1"/>
    <col min="11790" max="12040" width="8.7109375" style="1"/>
    <col min="12041" max="12041" width="25.5703125" style="1" customWidth="1"/>
    <col min="12042" max="12042" width="17.140625" style="1" customWidth="1"/>
    <col min="12043" max="12043" width="14" style="1" customWidth="1"/>
    <col min="12044" max="12044" width="13.5703125" style="1" customWidth="1"/>
    <col min="12045" max="12045" width="16.85546875" style="1" customWidth="1"/>
    <col min="12046" max="12296" width="8.7109375" style="1"/>
    <col min="12297" max="12297" width="25.5703125" style="1" customWidth="1"/>
    <col min="12298" max="12298" width="17.140625" style="1" customWidth="1"/>
    <col min="12299" max="12299" width="14" style="1" customWidth="1"/>
    <col min="12300" max="12300" width="13.5703125" style="1" customWidth="1"/>
    <col min="12301" max="12301" width="16.85546875" style="1" customWidth="1"/>
    <col min="12302" max="12552" width="8.7109375" style="1"/>
    <col min="12553" max="12553" width="25.5703125" style="1" customWidth="1"/>
    <col min="12554" max="12554" width="17.140625" style="1" customWidth="1"/>
    <col min="12555" max="12555" width="14" style="1" customWidth="1"/>
    <col min="12556" max="12556" width="13.5703125" style="1" customWidth="1"/>
    <col min="12557" max="12557" width="16.85546875" style="1" customWidth="1"/>
    <col min="12558" max="12808" width="8.7109375" style="1"/>
    <col min="12809" max="12809" width="25.5703125" style="1" customWidth="1"/>
    <col min="12810" max="12810" width="17.140625" style="1" customWidth="1"/>
    <col min="12811" max="12811" width="14" style="1" customWidth="1"/>
    <col min="12812" max="12812" width="13.5703125" style="1" customWidth="1"/>
    <col min="12813" max="12813" width="16.85546875" style="1" customWidth="1"/>
    <col min="12814" max="13064" width="8.7109375" style="1"/>
    <col min="13065" max="13065" width="25.5703125" style="1" customWidth="1"/>
    <col min="13066" max="13066" width="17.140625" style="1" customWidth="1"/>
    <col min="13067" max="13067" width="14" style="1" customWidth="1"/>
    <col min="13068" max="13068" width="13.5703125" style="1" customWidth="1"/>
    <col min="13069" max="13069" width="16.85546875" style="1" customWidth="1"/>
    <col min="13070" max="13320" width="8.7109375" style="1"/>
    <col min="13321" max="13321" width="25.5703125" style="1" customWidth="1"/>
    <col min="13322" max="13322" width="17.140625" style="1" customWidth="1"/>
    <col min="13323" max="13323" width="14" style="1" customWidth="1"/>
    <col min="13324" max="13324" width="13.5703125" style="1" customWidth="1"/>
    <col min="13325" max="13325" width="16.85546875" style="1" customWidth="1"/>
    <col min="13326" max="13576" width="8.7109375" style="1"/>
    <col min="13577" max="13577" width="25.5703125" style="1" customWidth="1"/>
    <col min="13578" max="13578" width="17.140625" style="1" customWidth="1"/>
    <col min="13579" max="13579" width="14" style="1" customWidth="1"/>
    <col min="13580" max="13580" width="13.5703125" style="1" customWidth="1"/>
    <col min="13581" max="13581" width="16.85546875" style="1" customWidth="1"/>
    <col min="13582" max="13832" width="8.7109375" style="1"/>
    <col min="13833" max="13833" width="25.5703125" style="1" customWidth="1"/>
    <col min="13834" max="13834" width="17.140625" style="1" customWidth="1"/>
    <col min="13835" max="13835" width="14" style="1" customWidth="1"/>
    <col min="13836" max="13836" width="13.5703125" style="1" customWidth="1"/>
    <col min="13837" max="13837" width="16.85546875" style="1" customWidth="1"/>
    <col min="13838" max="14088" width="8.7109375" style="1"/>
    <col min="14089" max="14089" width="25.5703125" style="1" customWidth="1"/>
    <col min="14090" max="14090" width="17.140625" style="1" customWidth="1"/>
    <col min="14091" max="14091" width="14" style="1" customWidth="1"/>
    <col min="14092" max="14092" width="13.5703125" style="1" customWidth="1"/>
    <col min="14093" max="14093" width="16.85546875" style="1" customWidth="1"/>
    <col min="14094" max="14344" width="8.7109375" style="1"/>
    <col min="14345" max="14345" width="25.5703125" style="1" customWidth="1"/>
    <col min="14346" max="14346" width="17.140625" style="1" customWidth="1"/>
    <col min="14347" max="14347" width="14" style="1" customWidth="1"/>
    <col min="14348" max="14348" width="13.5703125" style="1" customWidth="1"/>
    <col min="14349" max="14349" width="16.85546875" style="1" customWidth="1"/>
    <col min="14350" max="14600" width="8.7109375" style="1"/>
    <col min="14601" max="14601" width="25.5703125" style="1" customWidth="1"/>
    <col min="14602" max="14602" width="17.140625" style="1" customWidth="1"/>
    <col min="14603" max="14603" width="14" style="1" customWidth="1"/>
    <col min="14604" max="14604" width="13.5703125" style="1" customWidth="1"/>
    <col min="14605" max="14605" width="16.85546875" style="1" customWidth="1"/>
    <col min="14606" max="14856" width="8.7109375" style="1"/>
    <col min="14857" max="14857" width="25.5703125" style="1" customWidth="1"/>
    <col min="14858" max="14858" width="17.140625" style="1" customWidth="1"/>
    <col min="14859" max="14859" width="14" style="1" customWidth="1"/>
    <col min="14860" max="14860" width="13.5703125" style="1" customWidth="1"/>
    <col min="14861" max="14861" width="16.85546875" style="1" customWidth="1"/>
    <col min="14862" max="15112" width="8.7109375" style="1"/>
    <col min="15113" max="15113" width="25.5703125" style="1" customWidth="1"/>
    <col min="15114" max="15114" width="17.140625" style="1" customWidth="1"/>
    <col min="15115" max="15115" width="14" style="1" customWidth="1"/>
    <col min="15116" max="15116" width="13.5703125" style="1" customWidth="1"/>
    <col min="15117" max="15117" width="16.85546875" style="1" customWidth="1"/>
    <col min="15118" max="15368" width="8.7109375" style="1"/>
    <col min="15369" max="15369" width="25.5703125" style="1" customWidth="1"/>
    <col min="15370" max="15370" width="17.140625" style="1" customWidth="1"/>
    <col min="15371" max="15371" width="14" style="1" customWidth="1"/>
    <col min="15372" max="15372" width="13.5703125" style="1" customWidth="1"/>
    <col min="15373" max="15373" width="16.85546875" style="1" customWidth="1"/>
    <col min="15374" max="15624" width="8.7109375" style="1"/>
    <col min="15625" max="15625" width="25.5703125" style="1" customWidth="1"/>
    <col min="15626" max="15626" width="17.140625" style="1" customWidth="1"/>
    <col min="15627" max="15627" width="14" style="1" customWidth="1"/>
    <col min="15628" max="15628" width="13.5703125" style="1" customWidth="1"/>
    <col min="15629" max="15629" width="16.85546875" style="1" customWidth="1"/>
    <col min="15630" max="15880" width="8.7109375" style="1"/>
    <col min="15881" max="15881" width="25.5703125" style="1" customWidth="1"/>
    <col min="15882" max="15882" width="17.140625" style="1" customWidth="1"/>
    <col min="15883" max="15883" width="14" style="1" customWidth="1"/>
    <col min="15884" max="15884" width="13.5703125" style="1" customWidth="1"/>
    <col min="15885" max="15885" width="16.85546875" style="1" customWidth="1"/>
    <col min="15886" max="16136" width="8.7109375" style="1"/>
    <col min="16137" max="16137" width="25.5703125" style="1" customWidth="1"/>
    <col min="16138" max="16138" width="17.140625" style="1" customWidth="1"/>
    <col min="16139" max="16139" width="14" style="1" customWidth="1"/>
    <col min="16140" max="16140" width="13.5703125" style="1" customWidth="1"/>
    <col min="16141" max="16141" width="16.85546875" style="1" customWidth="1"/>
    <col min="16142" max="16384" width="8.7109375" style="1"/>
  </cols>
  <sheetData>
    <row r="1" spans="1:30">
      <c r="A1" s="27"/>
      <c r="B1" s="24" t="s">
        <v>396</v>
      </c>
      <c r="C1" s="24"/>
      <c r="D1" s="221"/>
      <c r="E1" s="221"/>
      <c r="F1" s="221"/>
      <c r="G1" s="27"/>
      <c r="H1" s="27"/>
      <c r="I1" s="27"/>
      <c r="J1" s="27"/>
      <c r="K1" s="27"/>
      <c r="L1" s="27"/>
      <c r="M1" s="27"/>
      <c r="N1" s="27"/>
      <c r="O1" s="27"/>
      <c r="P1" s="9" t="s">
        <v>396</v>
      </c>
      <c r="Q1" s="27"/>
      <c r="R1" s="27"/>
      <c r="S1" s="27"/>
      <c r="T1" s="27"/>
      <c r="U1" s="27"/>
      <c r="V1" s="27"/>
      <c r="W1" s="27"/>
      <c r="X1" s="27"/>
      <c r="Y1" s="27"/>
      <c r="Z1" s="27"/>
      <c r="AA1" s="27"/>
      <c r="AB1" s="27"/>
      <c r="AC1" s="27"/>
      <c r="AD1" s="27"/>
    </row>
    <row r="2" spans="1:30" ht="15.75" thickBot="1">
      <c r="A2" s="27"/>
      <c r="B2" s="221" t="s">
        <v>354</v>
      </c>
      <c r="C2" s="221"/>
      <c r="D2" s="221"/>
      <c r="E2" s="221"/>
      <c r="F2" s="221"/>
      <c r="G2" s="27"/>
      <c r="H2" s="26"/>
      <c r="I2" s="27"/>
      <c r="J2" s="27"/>
      <c r="K2" s="27"/>
      <c r="L2" s="27"/>
      <c r="M2" s="27"/>
      <c r="N2" s="27"/>
      <c r="O2" s="27"/>
      <c r="P2" s="27" t="s">
        <v>354</v>
      </c>
      <c r="Q2" s="27"/>
      <c r="R2" s="27"/>
      <c r="S2" s="27"/>
      <c r="T2" s="27"/>
      <c r="U2" s="27"/>
      <c r="V2" s="27"/>
      <c r="W2" s="27"/>
      <c r="X2" s="27"/>
      <c r="Y2" s="27"/>
      <c r="Z2" s="27"/>
      <c r="AA2" s="27"/>
      <c r="AB2" s="27"/>
      <c r="AC2" s="27"/>
      <c r="AD2" s="27"/>
    </row>
    <row r="3" spans="1:30" ht="15.75" thickBot="1">
      <c r="A3" s="27"/>
      <c r="B3" s="221"/>
      <c r="C3" s="221"/>
      <c r="D3" s="221"/>
      <c r="E3" s="221"/>
      <c r="F3" s="221"/>
      <c r="G3" s="27"/>
      <c r="H3" s="1188" t="s">
        <v>514</v>
      </c>
      <c r="I3" s="1189"/>
      <c r="J3" s="1189"/>
      <c r="K3" s="1190"/>
      <c r="L3" s="381"/>
      <c r="M3" s="27"/>
      <c r="N3" s="27"/>
      <c r="O3" s="27"/>
      <c r="P3" s="27"/>
      <c r="Q3" s="27"/>
      <c r="R3" s="27"/>
      <c r="S3" s="27"/>
      <c r="T3" s="27"/>
      <c r="U3" s="27"/>
      <c r="V3" s="27"/>
      <c r="W3" s="1159" t="s">
        <v>356</v>
      </c>
      <c r="X3" s="1160"/>
      <c r="Y3" s="1160"/>
      <c r="Z3" s="1160"/>
      <c r="AA3" s="1160"/>
      <c r="AB3" s="1161"/>
      <c r="AC3" s="27"/>
      <c r="AD3" s="27"/>
    </row>
    <row r="4" spans="1:30" ht="15.75" thickBot="1">
      <c r="A4" s="27"/>
      <c r="B4" s="222" t="s">
        <v>397</v>
      </c>
      <c r="C4" s="223"/>
      <c r="D4" s="223"/>
      <c r="E4" s="223"/>
      <c r="F4" s="224"/>
      <c r="G4" s="21"/>
      <c r="H4" s="32" t="s">
        <v>397</v>
      </c>
      <c r="I4" s="33"/>
      <c r="J4" s="33">
        <v>11</v>
      </c>
      <c r="K4" s="33"/>
      <c r="L4" s="34"/>
      <c r="M4" s="21"/>
      <c r="N4" s="21"/>
      <c r="O4" s="27"/>
      <c r="P4" s="225" t="s">
        <v>398</v>
      </c>
      <c r="Q4" s="226">
        <v>15</v>
      </c>
      <c r="R4" s="227" t="s">
        <v>399</v>
      </c>
      <c r="S4" s="228"/>
      <c r="T4" s="229">
        <v>12</v>
      </c>
      <c r="U4" s="27">
        <f>T4*Q4</f>
        <v>180</v>
      </c>
      <c r="V4" s="27"/>
      <c r="W4" s="1193" t="s">
        <v>357</v>
      </c>
      <c r="X4" s="1194"/>
      <c r="Y4" s="1194"/>
      <c r="Z4" s="1194"/>
      <c r="AA4" s="1194"/>
      <c r="AB4" s="1195"/>
      <c r="AC4" s="27"/>
      <c r="AD4" s="27"/>
    </row>
    <row r="5" spans="1:30" ht="16.5" thickBot="1">
      <c r="A5" s="27"/>
      <c r="B5" s="230"/>
      <c r="C5" s="231"/>
      <c r="D5" s="231"/>
      <c r="E5" s="231"/>
      <c r="F5" s="232"/>
      <c r="G5" s="21"/>
      <c r="H5" s="7"/>
      <c r="I5" s="21"/>
      <c r="J5" s="21"/>
      <c r="K5" s="21"/>
      <c r="L5" s="38"/>
      <c r="M5" s="21"/>
      <c r="N5" s="21"/>
      <c r="O5" s="27"/>
      <c r="P5" s="2"/>
      <c r="Q5" s="21"/>
      <c r="R5" s="27"/>
      <c r="S5" s="27"/>
      <c r="T5" s="73"/>
      <c r="U5" s="27"/>
      <c r="V5" s="27"/>
      <c r="W5" s="747" t="s">
        <v>388</v>
      </c>
      <c r="X5" s="1003">
        <f>'M2022 BLS SALARY CHART (53_PCT)'!C22</f>
        <v>79415.232000000018</v>
      </c>
      <c r="Y5" s="885" t="s">
        <v>723</v>
      </c>
      <c r="Z5" s="1004"/>
      <c r="AA5" s="1004"/>
      <c r="AB5" s="1005"/>
      <c r="AC5" s="27"/>
      <c r="AD5" s="27"/>
    </row>
    <row r="6" spans="1:30" ht="16.5" thickBot="1">
      <c r="A6" s="27"/>
      <c r="B6" s="230"/>
      <c r="C6" s="231"/>
      <c r="D6" s="24" t="s">
        <v>299</v>
      </c>
      <c r="E6" s="24" t="s">
        <v>300</v>
      </c>
      <c r="F6" s="236" t="s">
        <v>301</v>
      </c>
      <c r="G6" s="9"/>
      <c r="H6" s="42"/>
      <c r="I6" s="43"/>
      <c r="J6" s="43" t="s">
        <v>299</v>
      </c>
      <c r="K6" s="44" t="s">
        <v>300</v>
      </c>
      <c r="L6" s="45" t="s">
        <v>301</v>
      </c>
      <c r="M6" s="9"/>
      <c r="N6" s="9"/>
      <c r="O6" s="27"/>
      <c r="P6" s="110"/>
      <c r="Q6" s="21"/>
      <c r="R6" s="9" t="s">
        <v>299</v>
      </c>
      <c r="S6" s="9" t="s">
        <v>300</v>
      </c>
      <c r="T6" s="237" t="s">
        <v>301</v>
      </c>
      <c r="U6" s="27"/>
      <c r="V6" s="27"/>
      <c r="W6" s="752" t="s">
        <v>360</v>
      </c>
      <c r="X6" s="1006">
        <f>'M2022 BLS SALARY CHART (53_PCT)'!C14</f>
        <v>64330.864000000001</v>
      </c>
      <c r="Y6" s="743" t="s">
        <v>723</v>
      </c>
      <c r="Z6" s="709"/>
      <c r="AA6" s="709"/>
      <c r="AB6" s="1007"/>
      <c r="AC6" s="27"/>
      <c r="AD6" s="27"/>
    </row>
    <row r="7" spans="1:30" ht="16.5" thickBot="1">
      <c r="A7" s="27"/>
      <c r="B7" s="230" t="s">
        <v>359</v>
      </c>
      <c r="C7" s="231"/>
      <c r="D7" s="239">
        <v>52564.428772849235</v>
      </c>
      <c r="E7" s="231">
        <v>0.01</v>
      </c>
      <c r="F7" s="240">
        <v>525.64428772849237</v>
      </c>
      <c r="G7" s="50"/>
      <c r="H7" s="995" t="str">
        <f>W5</f>
        <v>Management</v>
      </c>
      <c r="I7" s="1014"/>
      <c r="J7" s="1014">
        <f>X5</f>
        <v>79415.232000000018</v>
      </c>
      <c r="K7" s="1015">
        <f>E7</f>
        <v>0.01</v>
      </c>
      <c r="L7" s="992">
        <f>K7*J7</f>
        <v>794.15232000000015</v>
      </c>
      <c r="M7" s="50"/>
      <c r="N7" s="50"/>
      <c r="O7" s="27"/>
      <c r="P7" s="110" t="s">
        <v>400</v>
      </c>
      <c r="Q7" s="21"/>
      <c r="R7" s="50">
        <f>X5</f>
        <v>79415.232000000018</v>
      </c>
      <c r="S7" s="21">
        <v>0.01</v>
      </c>
      <c r="T7" s="241">
        <f>R7*S7</f>
        <v>794.15232000000015</v>
      </c>
      <c r="U7" s="27"/>
      <c r="V7" s="27"/>
      <c r="W7" s="906" t="s">
        <v>458</v>
      </c>
      <c r="X7" s="1008">
        <f>'M2022 BLS SALARY CHART (53_PCT)'!C8</f>
        <v>53206.566400000003</v>
      </c>
      <c r="Y7" s="749" t="s">
        <v>723</v>
      </c>
      <c r="Z7" s="1009"/>
      <c r="AA7" s="1009"/>
      <c r="AB7" s="1010"/>
      <c r="AC7" s="27"/>
      <c r="AD7" s="27"/>
    </row>
    <row r="8" spans="1:30" ht="16.5" thickBot="1">
      <c r="A8" s="27"/>
      <c r="B8" s="230" t="s">
        <v>362</v>
      </c>
      <c r="C8" s="231"/>
      <c r="D8" s="239">
        <v>47000</v>
      </c>
      <c r="E8" s="231">
        <v>0.19</v>
      </c>
      <c r="F8" s="240">
        <v>8930</v>
      </c>
      <c r="G8" s="50"/>
      <c r="H8" s="995" t="s">
        <v>360</v>
      </c>
      <c r="I8" s="1014"/>
      <c r="J8" s="1014">
        <f>X6</f>
        <v>64330.864000000001</v>
      </c>
      <c r="K8" s="1015">
        <v>0.11</v>
      </c>
      <c r="L8" s="992">
        <f>K8*J8</f>
        <v>7076.3950400000003</v>
      </c>
      <c r="M8" s="50"/>
      <c r="N8" s="50"/>
      <c r="O8" s="27"/>
      <c r="P8" s="110"/>
      <c r="Q8" s="21"/>
      <c r="R8" s="50"/>
      <c r="S8" s="21"/>
      <c r="T8" s="241"/>
      <c r="U8" s="27"/>
      <c r="V8" s="27"/>
      <c r="W8" s="1196" t="s">
        <v>325</v>
      </c>
      <c r="X8" s="1197"/>
      <c r="Y8" s="1197"/>
      <c r="Z8" s="1197"/>
      <c r="AA8" s="1197"/>
      <c r="AB8" s="1198"/>
      <c r="AC8" s="27"/>
      <c r="AD8" s="27"/>
    </row>
    <row r="9" spans="1:30" ht="16.5" thickBot="1">
      <c r="A9" s="27"/>
      <c r="B9" s="245" t="s">
        <v>364</v>
      </c>
      <c r="C9" s="246"/>
      <c r="D9" s="246"/>
      <c r="E9" s="247">
        <v>0.2</v>
      </c>
      <c r="F9" s="248">
        <v>9455.6442877284917</v>
      </c>
      <c r="G9" s="50"/>
      <c r="H9" s="995" t="str">
        <f>W7</f>
        <v>Direct Care III</v>
      </c>
      <c r="I9" s="1014"/>
      <c r="J9" s="1014">
        <f>X7</f>
        <v>53206.566400000003</v>
      </c>
      <c r="K9" s="1015">
        <v>0.1</v>
      </c>
      <c r="L9" s="992">
        <f>K9*J9</f>
        <v>5320.6566400000011</v>
      </c>
      <c r="M9" s="50"/>
      <c r="N9" s="50"/>
      <c r="O9" s="27"/>
      <c r="P9" s="110" t="s">
        <v>401</v>
      </c>
      <c r="Q9" s="21"/>
      <c r="R9" s="50">
        <f>X7</f>
        <v>53206.566400000003</v>
      </c>
      <c r="S9" s="21">
        <v>0.19</v>
      </c>
      <c r="T9" s="52">
        <f>R9*S9</f>
        <v>10109.247616000001</v>
      </c>
      <c r="U9" s="27"/>
      <c r="V9" s="27"/>
      <c r="W9" s="752" t="s">
        <v>209</v>
      </c>
      <c r="X9" s="758">
        <v>5963.9694954316819</v>
      </c>
      <c r="Y9" s="749" t="s">
        <v>622</v>
      </c>
      <c r="Z9" s="709"/>
      <c r="AA9" s="709"/>
      <c r="AB9" s="1007"/>
      <c r="AC9" s="27"/>
      <c r="AD9" s="27"/>
    </row>
    <row r="10" spans="1:30" ht="16.5" thickBot="1">
      <c r="A10" s="27"/>
      <c r="B10" s="230"/>
      <c r="C10" s="231"/>
      <c r="D10" s="231"/>
      <c r="E10" s="231"/>
      <c r="F10" s="232"/>
      <c r="G10" s="50"/>
      <c r="H10" s="1016" t="s">
        <v>364</v>
      </c>
      <c r="I10" s="1017"/>
      <c r="J10" s="1017"/>
      <c r="K10" s="1018">
        <v>0.2</v>
      </c>
      <c r="L10" s="1019">
        <f>SUM(L7:L9)</f>
        <v>13191.204000000002</v>
      </c>
      <c r="M10" s="50"/>
      <c r="N10" s="50"/>
      <c r="O10" s="114">
        <f>T10</f>
        <v>10903.399936000002</v>
      </c>
      <c r="P10" s="3" t="s">
        <v>364</v>
      </c>
      <c r="Q10" s="249"/>
      <c r="R10" s="249"/>
      <c r="S10" s="250">
        <v>0.2</v>
      </c>
      <c r="T10" s="251">
        <f>SUM(T7:T9)</f>
        <v>10903.399936000002</v>
      </c>
      <c r="U10" s="27"/>
      <c r="V10" s="27"/>
      <c r="W10" s="752" t="s">
        <v>214</v>
      </c>
      <c r="X10" s="758">
        <v>159.61973086509079</v>
      </c>
      <c r="Y10" s="749" t="s">
        <v>622</v>
      </c>
      <c r="Z10" s="743"/>
      <c r="AA10" s="743"/>
      <c r="AB10" s="759"/>
      <c r="AC10" s="27"/>
      <c r="AD10" s="27"/>
    </row>
    <row r="11" spans="1:30" ht="15.75">
      <c r="A11" s="27"/>
      <c r="B11" s="230" t="s">
        <v>328</v>
      </c>
      <c r="C11" s="231"/>
      <c r="D11" s="231"/>
      <c r="E11" s="231"/>
      <c r="F11" s="232"/>
      <c r="G11" s="21"/>
      <c r="H11" s="752"/>
      <c r="I11" s="743"/>
      <c r="J11" s="743"/>
      <c r="K11" s="1015"/>
      <c r="L11" s="759"/>
      <c r="M11" s="21"/>
      <c r="N11" s="21"/>
      <c r="O11" s="27"/>
      <c r="P11" s="7"/>
      <c r="Q11" s="21"/>
      <c r="R11" s="21"/>
      <c r="S11" s="21"/>
      <c r="T11" s="38"/>
      <c r="U11" s="27"/>
      <c r="V11" s="27"/>
      <c r="W11" s="752" t="s">
        <v>215</v>
      </c>
      <c r="X11" s="758">
        <v>1056.8783932396871</v>
      </c>
      <c r="Y11" s="749" t="s">
        <v>622</v>
      </c>
      <c r="Z11" s="743"/>
      <c r="AA11" s="743"/>
      <c r="AB11" s="759"/>
      <c r="AC11" s="27"/>
      <c r="AD11" s="27"/>
    </row>
    <row r="12" spans="1:30" ht="15.75">
      <c r="A12" s="27"/>
      <c r="B12" s="230" t="s">
        <v>367</v>
      </c>
      <c r="C12" s="231"/>
      <c r="D12" s="252">
        <v>0.21590826871491237</v>
      </c>
      <c r="E12" s="252"/>
      <c r="F12" s="240">
        <v>2041.5517877475093</v>
      </c>
      <c r="G12" s="21"/>
      <c r="H12" s="752" t="s">
        <v>328</v>
      </c>
      <c r="I12" s="743"/>
      <c r="J12" s="743"/>
      <c r="K12" s="1015"/>
      <c r="L12" s="759"/>
      <c r="M12" s="21"/>
      <c r="N12" s="21"/>
      <c r="O12" s="27"/>
      <c r="P12" s="7" t="s">
        <v>328</v>
      </c>
      <c r="Q12" s="21"/>
      <c r="R12" s="21"/>
      <c r="S12" s="21"/>
      <c r="T12" s="38"/>
      <c r="U12" s="27"/>
      <c r="V12" s="27"/>
      <c r="W12" s="752" t="s">
        <v>216</v>
      </c>
      <c r="X12" s="758">
        <v>659.46971027355744</v>
      </c>
      <c r="Y12" s="749" t="s">
        <v>622</v>
      </c>
      <c r="Z12" s="743"/>
      <c r="AA12" s="743"/>
      <c r="AB12" s="759"/>
      <c r="AC12" s="27"/>
      <c r="AD12" s="27"/>
    </row>
    <row r="13" spans="1:30" ht="16.5" thickBot="1">
      <c r="A13" s="27"/>
      <c r="B13" s="245" t="s">
        <v>331</v>
      </c>
      <c r="C13" s="246"/>
      <c r="D13" s="246"/>
      <c r="E13" s="246"/>
      <c r="F13" s="248">
        <v>11497.196075476</v>
      </c>
      <c r="G13" s="50"/>
      <c r="H13" s="995" t="s">
        <v>367</v>
      </c>
      <c r="I13" s="1014"/>
      <c r="J13" s="768">
        <f>X18</f>
        <v>0.27379999999999999</v>
      </c>
      <c r="K13" s="1015"/>
      <c r="L13" s="992">
        <f>J13*L10</f>
        <v>3611.7516552000002</v>
      </c>
      <c r="M13" s="50"/>
      <c r="N13" s="50"/>
      <c r="O13" s="162">
        <f>T13</f>
        <v>2985.3509024768005</v>
      </c>
      <c r="P13" s="7" t="s">
        <v>367</v>
      </c>
      <c r="Q13" s="21"/>
      <c r="R13" s="253">
        <f>X18</f>
        <v>0.27379999999999999</v>
      </c>
      <c r="S13" s="253"/>
      <c r="T13" s="241">
        <f>R13*T10</f>
        <v>2985.3509024768005</v>
      </c>
      <c r="U13" s="27"/>
      <c r="V13" s="27"/>
      <c r="W13" s="752" t="s">
        <v>217</v>
      </c>
      <c r="X13" s="758">
        <v>474.11060420697481</v>
      </c>
      <c r="Y13" s="749" t="s">
        <v>622</v>
      </c>
      <c r="Z13" s="743"/>
      <c r="AA13" s="743"/>
      <c r="AB13" s="759"/>
      <c r="AC13" s="27"/>
      <c r="AD13" s="27"/>
    </row>
    <row r="14" spans="1:30" ht="16.5" thickBot="1">
      <c r="A14" s="27"/>
      <c r="B14" s="230"/>
      <c r="C14" s="231"/>
      <c r="D14" s="231" t="s">
        <v>402</v>
      </c>
      <c r="E14" s="254" t="s">
        <v>403</v>
      </c>
      <c r="F14" s="232"/>
      <c r="G14" s="50"/>
      <c r="H14" s="1016" t="s">
        <v>331</v>
      </c>
      <c r="I14" s="1017"/>
      <c r="J14" s="1017"/>
      <c r="K14" s="1018"/>
      <c r="L14" s="1019">
        <f>SUM(L10:L13)</f>
        <v>16802.955655200003</v>
      </c>
      <c r="M14" s="50"/>
      <c r="N14" s="50"/>
      <c r="O14" s="114">
        <f>SUM(O10:O13)</f>
        <v>13888.750838476803</v>
      </c>
      <c r="P14" s="3" t="s">
        <v>331</v>
      </c>
      <c r="Q14" s="249"/>
      <c r="R14" s="249"/>
      <c r="S14" s="249"/>
      <c r="T14" s="251">
        <f>T13+T10</f>
        <v>13888.750838476803</v>
      </c>
      <c r="U14" s="27"/>
      <c r="V14" s="27"/>
      <c r="W14" s="752" t="s">
        <v>221</v>
      </c>
      <c r="X14" s="758">
        <v>1733.9343036087084</v>
      </c>
      <c r="Y14" s="749" t="s">
        <v>622</v>
      </c>
      <c r="Z14" s="743"/>
      <c r="AA14" s="743"/>
      <c r="AB14" s="759"/>
      <c r="AC14" s="27"/>
      <c r="AD14" s="27"/>
    </row>
    <row r="15" spans="1:30" ht="15.75">
      <c r="A15" s="27"/>
      <c r="B15" s="230" t="s">
        <v>404</v>
      </c>
      <c r="C15" s="231"/>
      <c r="D15" s="231">
        <v>940</v>
      </c>
      <c r="E15" s="231">
        <v>5</v>
      </c>
      <c r="F15" s="240">
        <v>4700</v>
      </c>
      <c r="G15" s="21"/>
      <c r="H15" s="747"/>
      <c r="I15" s="750"/>
      <c r="J15" s="1020"/>
      <c r="K15" s="1021"/>
      <c r="L15" s="751"/>
      <c r="M15" s="21"/>
      <c r="N15" s="21"/>
      <c r="O15" s="27"/>
      <c r="P15" s="7"/>
      <c r="Q15" s="21"/>
      <c r="R15" s="21"/>
      <c r="S15" s="255"/>
      <c r="T15" s="38"/>
      <c r="U15" s="27"/>
      <c r="V15" s="27"/>
      <c r="W15" s="752" t="s">
        <v>225</v>
      </c>
      <c r="X15" s="758">
        <v>1347.3502436316674</v>
      </c>
      <c r="Y15" s="749" t="s">
        <v>622</v>
      </c>
      <c r="Z15" s="743"/>
      <c r="AA15" s="743"/>
      <c r="AB15" s="759"/>
      <c r="AC15" s="27"/>
      <c r="AD15" s="27"/>
    </row>
    <row r="16" spans="1:30" ht="15.75">
      <c r="A16" s="27"/>
      <c r="B16" s="230"/>
      <c r="C16" s="231"/>
      <c r="D16" s="231"/>
      <c r="E16" s="231"/>
      <c r="F16" s="232"/>
      <c r="G16" s="50"/>
      <c r="H16" s="995" t="s">
        <v>209</v>
      </c>
      <c r="I16" s="1014"/>
      <c r="J16" s="1014"/>
      <c r="K16" s="1015"/>
      <c r="L16" s="992">
        <f>X9</f>
        <v>5963.9694954316819</v>
      </c>
      <c r="M16" s="50"/>
      <c r="N16" s="50"/>
      <c r="O16" s="27"/>
      <c r="P16" s="7" t="s">
        <v>405</v>
      </c>
      <c r="Q16" s="21"/>
      <c r="R16" s="256">
        <f>X48</f>
        <v>553.31333333333339</v>
      </c>
      <c r="S16" s="21">
        <v>9</v>
      </c>
      <c r="T16" s="52">
        <f>S16*R16</f>
        <v>4979.8200000000006</v>
      </c>
      <c r="U16" s="27"/>
      <c r="V16" s="114">
        <f>SUM(L16:L22)</f>
        <v>11395.332481257366</v>
      </c>
      <c r="W16" s="752"/>
      <c r="X16" s="758"/>
      <c r="Y16" s="749"/>
      <c r="Z16" s="743"/>
      <c r="AA16" s="743"/>
      <c r="AB16" s="759"/>
      <c r="AC16" s="27"/>
      <c r="AD16" s="27"/>
    </row>
    <row r="17" spans="1:30" ht="15.75">
      <c r="A17" s="27"/>
      <c r="B17" s="230" t="s">
        <v>370</v>
      </c>
      <c r="C17" s="231"/>
      <c r="D17" s="231" t="s">
        <v>507</v>
      </c>
      <c r="E17" s="231"/>
      <c r="F17" s="240">
        <v>1487.8947368421054</v>
      </c>
      <c r="G17" s="21"/>
      <c r="H17" s="752" t="s">
        <v>214</v>
      </c>
      <c r="I17" s="743"/>
      <c r="J17" s="743"/>
      <c r="K17" s="1015"/>
      <c r="L17" s="992">
        <f t="shared" ref="L17:L22" si="0">X10</f>
        <v>159.61973086509079</v>
      </c>
      <c r="M17" s="21"/>
      <c r="N17" s="21"/>
      <c r="O17" s="27"/>
      <c r="P17" s="7" t="str">
        <f>W10</f>
        <v>Staff Training 204</v>
      </c>
      <c r="Q17" s="21"/>
      <c r="R17" s="257">
        <f>X10</f>
        <v>159.61973086509079</v>
      </c>
      <c r="S17" s="21"/>
      <c r="T17" s="52">
        <f>R17*X44</f>
        <v>2394.2959629763618</v>
      </c>
      <c r="U17" s="27"/>
      <c r="V17" s="27"/>
      <c r="W17" s="752"/>
      <c r="X17" s="774"/>
      <c r="Y17" s="749"/>
      <c r="Z17" s="743"/>
      <c r="AA17" s="743"/>
      <c r="AB17" s="759"/>
      <c r="AC17" s="27"/>
      <c r="AD17" s="27"/>
    </row>
    <row r="18" spans="1:30" ht="15.75">
      <c r="A18" s="27"/>
      <c r="B18" s="230"/>
      <c r="C18" s="231"/>
      <c r="D18" s="258">
        <v>99.192982456140356</v>
      </c>
      <c r="E18" s="231"/>
      <c r="F18" s="232"/>
      <c r="G18" s="50"/>
      <c r="H18" s="995" t="s">
        <v>215</v>
      </c>
      <c r="I18" s="1014"/>
      <c r="J18" s="1022"/>
      <c r="K18" s="1015"/>
      <c r="L18" s="992">
        <f t="shared" si="0"/>
        <v>1056.8783932396871</v>
      </c>
      <c r="M18" s="50"/>
      <c r="N18" s="50"/>
      <c r="O18" s="27"/>
      <c r="P18" s="7" t="s">
        <v>406</v>
      </c>
      <c r="Q18" s="21"/>
      <c r="R18" s="259">
        <f>X11</f>
        <v>1056.8783932396871</v>
      </c>
      <c r="S18" s="21"/>
      <c r="T18" s="52">
        <f>(R18*X42)*X44</f>
        <v>158531.75898595306</v>
      </c>
      <c r="U18" s="27"/>
      <c r="V18" s="27"/>
      <c r="W18" s="752" t="s">
        <v>327</v>
      </c>
      <c r="X18" s="774">
        <f>'M2022 BLS SALARY CHART (53_PCT)'!C38</f>
        <v>0.27379999999999999</v>
      </c>
      <c r="Y18" s="749" t="s">
        <v>365</v>
      </c>
      <c r="Z18" s="743"/>
      <c r="AA18" s="743"/>
      <c r="AB18" s="759"/>
      <c r="AC18" s="27"/>
      <c r="AD18" s="27"/>
    </row>
    <row r="19" spans="1:30" ht="16.5" thickBot="1">
      <c r="A19" s="27"/>
      <c r="B19" s="230" t="s">
        <v>406</v>
      </c>
      <c r="C19" s="231"/>
      <c r="D19" s="231"/>
      <c r="E19" s="231"/>
      <c r="F19" s="260">
        <v>3187</v>
      </c>
      <c r="G19" s="21"/>
      <c r="H19" s="718" t="s">
        <v>216</v>
      </c>
      <c r="I19" s="763"/>
      <c r="J19" s="763"/>
      <c r="K19" s="1015"/>
      <c r="L19" s="992">
        <f t="shared" si="0"/>
        <v>659.46971027355744</v>
      </c>
      <c r="M19" s="21"/>
      <c r="N19" s="21"/>
      <c r="O19" s="27"/>
      <c r="P19" s="7" t="s">
        <v>407</v>
      </c>
      <c r="Q19" s="21"/>
      <c r="R19" s="74"/>
      <c r="S19" s="21"/>
      <c r="T19" s="52">
        <f>X12</f>
        <v>659.46971027355744</v>
      </c>
      <c r="U19" s="27"/>
      <c r="V19" s="27"/>
      <c r="W19" s="752" t="s">
        <v>178</v>
      </c>
      <c r="X19" s="774">
        <f>'M2022 BLS SALARY CHART (53_PCT)'!C41</f>
        <v>0.12</v>
      </c>
      <c r="Y19" s="1011" t="s">
        <v>366</v>
      </c>
      <c r="Z19" s="743"/>
      <c r="AA19" s="743"/>
      <c r="AB19" s="759"/>
      <c r="AC19" s="27"/>
      <c r="AD19" s="27"/>
    </row>
    <row r="20" spans="1:30" ht="16.5" thickBot="1">
      <c r="A20" s="27"/>
      <c r="B20" s="230" t="s">
        <v>374</v>
      </c>
      <c r="C20" s="231"/>
      <c r="D20" s="231"/>
      <c r="E20" s="231"/>
      <c r="F20" s="240">
        <v>1750</v>
      </c>
      <c r="G20" s="72"/>
      <c r="H20" s="995" t="s">
        <v>217</v>
      </c>
      <c r="I20" s="1014"/>
      <c r="J20" s="1014"/>
      <c r="K20" s="1015"/>
      <c r="L20" s="992">
        <f t="shared" si="0"/>
        <v>474.11060420697481</v>
      </c>
      <c r="M20" s="72"/>
      <c r="N20" s="72"/>
      <c r="O20" s="27"/>
      <c r="P20" s="7" t="s">
        <v>408</v>
      </c>
      <c r="Q20" s="21"/>
      <c r="R20" s="259">
        <f>X13</f>
        <v>474.11060420697481</v>
      </c>
      <c r="S20" s="21"/>
      <c r="T20" s="52">
        <f>(R20*X44)</f>
        <v>7111.659063104622</v>
      </c>
      <c r="U20" s="162"/>
      <c r="V20" s="162"/>
      <c r="W20" s="1012" t="str">
        <f>'Child Welfare Groups'!N16</f>
        <v>CAF (Apr 2023)</v>
      </c>
      <c r="X20" s="1013">
        <f>'Child Welfare Groups'!O16</f>
        <v>2.6565517099262824E-2</v>
      </c>
      <c r="Y20" s="771" t="s">
        <v>713</v>
      </c>
      <c r="Z20" s="897"/>
      <c r="AA20" s="897"/>
      <c r="AB20" s="898"/>
      <c r="AC20" s="27"/>
      <c r="AD20" s="27"/>
    </row>
    <row r="21" spans="1:30" ht="15.75">
      <c r="A21" s="27"/>
      <c r="B21" s="230" t="s">
        <v>408</v>
      </c>
      <c r="C21" s="231"/>
      <c r="D21" s="258">
        <v>44.322599999999994</v>
      </c>
      <c r="E21" s="231"/>
      <c r="F21" s="240">
        <v>664.83899999999994</v>
      </c>
      <c r="G21" s="50"/>
      <c r="H21" s="995" t="s">
        <v>221</v>
      </c>
      <c r="I21" s="1014"/>
      <c r="J21" s="1023"/>
      <c r="K21" s="1015"/>
      <c r="L21" s="992">
        <f t="shared" si="0"/>
        <v>1733.9343036087084</v>
      </c>
      <c r="M21" s="50"/>
      <c r="N21" s="50"/>
      <c r="O21" s="27"/>
      <c r="P21" s="7" t="s">
        <v>409</v>
      </c>
      <c r="Q21" s="21"/>
      <c r="R21" s="259">
        <f>X14</f>
        <v>1733.9343036087084</v>
      </c>
      <c r="S21" s="21"/>
      <c r="T21" s="52">
        <f>R21*15</f>
        <v>26009.014554130626</v>
      </c>
      <c r="U21" s="162">
        <v>15859</v>
      </c>
      <c r="V21" s="162"/>
      <c r="W21" s="27"/>
      <c r="X21" s="27"/>
      <c r="Y21" s="27"/>
      <c r="Z21" s="27"/>
      <c r="AA21" s="27"/>
      <c r="AB21" s="27"/>
      <c r="AC21" s="27"/>
      <c r="AD21" s="27"/>
    </row>
    <row r="22" spans="1:30" ht="15.75">
      <c r="A22" s="27"/>
      <c r="B22" s="230" t="s">
        <v>409</v>
      </c>
      <c r="C22" s="231"/>
      <c r="D22" s="231"/>
      <c r="E22" s="231"/>
      <c r="F22" s="240">
        <v>4500</v>
      </c>
      <c r="G22" s="50"/>
      <c r="H22" s="995" t="s">
        <v>225</v>
      </c>
      <c r="I22" s="1014"/>
      <c r="J22" s="1014"/>
      <c r="K22" s="1015"/>
      <c r="L22" s="992">
        <f t="shared" si="0"/>
        <v>1347.3502436316674</v>
      </c>
      <c r="M22" s="50"/>
      <c r="N22" s="50"/>
      <c r="O22" s="27"/>
      <c r="P22" s="7"/>
      <c r="Q22" s="21"/>
      <c r="R22" s="74"/>
      <c r="S22" s="21"/>
      <c r="T22" s="52"/>
      <c r="U22" s="162"/>
      <c r="V22" s="162"/>
      <c r="W22" s="27"/>
      <c r="X22" s="27"/>
      <c r="Y22" s="27"/>
      <c r="Z22" s="27"/>
      <c r="AA22" s="27"/>
      <c r="AB22" s="27"/>
      <c r="AC22" s="27"/>
      <c r="AD22" s="27"/>
    </row>
    <row r="23" spans="1:30" ht="16.5" thickBot="1">
      <c r="A23" s="27"/>
      <c r="B23" s="230"/>
      <c r="C23" s="231"/>
      <c r="D23" s="231"/>
      <c r="E23" s="231"/>
      <c r="F23" s="232"/>
      <c r="G23" s="50"/>
      <c r="H23" s="752"/>
      <c r="I23" s="743"/>
      <c r="J23" s="743"/>
      <c r="K23" s="1015"/>
      <c r="L23" s="759"/>
      <c r="M23" s="50"/>
      <c r="N23" s="50"/>
      <c r="O23" s="27"/>
      <c r="P23" s="7"/>
      <c r="Q23" s="21"/>
      <c r="R23" s="21"/>
      <c r="S23" s="21"/>
      <c r="T23" s="52"/>
      <c r="U23" s="162">
        <f>T20/U4</f>
        <v>39.509217017247899</v>
      </c>
      <c r="V23" s="114"/>
      <c r="W23" s="27"/>
      <c r="X23" s="27"/>
      <c r="Y23" s="27"/>
      <c r="Z23" s="27"/>
      <c r="AA23" s="27"/>
      <c r="AB23" s="27"/>
      <c r="AC23" s="27"/>
      <c r="AD23" s="27"/>
    </row>
    <row r="24" spans="1:30" ht="16.5" thickBot="1">
      <c r="A24" s="27"/>
      <c r="B24" s="245" t="s">
        <v>376</v>
      </c>
      <c r="C24" s="246"/>
      <c r="D24" s="246"/>
      <c r="E24" s="246"/>
      <c r="F24" s="261">
        <v>27786.929812318107</v>
      </c>
      <c r="G24" s="21"/>
      <c r="H24" s="1016" t="s">
        <v>410</v>
      </c>
      <c r="I24" s="1024"/>
      <c r="J24" s="1024"/>
      <c r="K24" s="1024"/>
      <c r="L24" s="1019">
        <f>SUM(L16:L23)</f>
        <v>11395.332481257366</v>
      </c>
      <c r="M24" s="21"/>
      <c r="N24" s="21"/>
      <c r="O24" s="114">
        <f>F15+F17+F19+F20+F21+F22</f>
        <v>16289.733736842105</v>
      </c>
      <c r="P24" s="7"/>
      <c r="Q24" s="21"/>
      <c r="R24" s="21"/>
      <c r="S24" s="21"/>
      <c r="T24" s="38"/>
      <c r="U24" s="27">
        <f>U4*7.09</f>
        <v>1276.2</v>
      </c>
      <c r="V24" s="27"/>
      <c r="W24" s="27"/>
      <c r="X24" s="27"/>
      <c r="Y24" s="27"/>
      <c r="Z24" s="27"/>
      <c r="AA24" s="27"/>
      <c r="AB24" s="27"/>
      <c r="AC24" s="27"/>
      <c r="AD24" s="27"/>
    </row>
    <row r="25" spans="1:30" ht="16.5" thickBot="1">
      <c r="A25" s="27"/>
      <c r="B25" s="230" t="s">
        <v>377</v>
      </c>
      <c r="C25" s="231"/>
      <c r="D25" s="262">
        <f>F25/F24</f>
        <v>0.11306220647863946</v>
      </c>
      <c r="E25" s="231"/>
      <c r="F25" s="263">
        <v>3141.6515958477721</v>
      </c>
      <c r="G25" s="74"/>
      <c r="H25" s="1025" t="s">
        <v>376</v>
      </c>
      <c r="I25" s="1026"/>
      <c r="J25" s="1026"/>
      <c r="K25" s="1027"/>
      <c r="L25" s="1028">
        <f>L24+L14</f>
        <v>28198.28813645737</v>
      </c>
      <c r="M25" s="74"/>
      <c r="N25" s="74"/>
      <c r="O25" s="114">
        <f>O24+O14</f>
        <v>30178.484575318907</v>
      </c>
      <c r="P25" s="3" t="s">
        <v>376</v>
      </c>
      <c r="Q25" s="249"/>
      <c r="R25" s="249"/>
      <c r="S25" s="249"/>
      <c r="T25" s="264">
        <f>SUM(T14:T24)</f>
        <v>213574.76911491505</v>
      </c>
      <c r="U25" s="27"/>
      <c r="V25" s="27"/>
      <c r="W25" s="27"/>
      <c r="X25" s="27"/>
      <c r="Y25" s="27"/>
      <c r="Z25" s="27"/>
      <c r="AA25" s="27"/>
      <c r="AB25" s="27"/>
      <c r="AC25" s="27"/>
      <c r="AD25" s="27"/>
    </row>
    <row r="26" spans="1:30" ht="15.75">
      <c r="A26" s="27"/>
      <c r="B26" s="230" t="s">
        <v>379</v>
      </c>
      <c r="C26" s="231"/>
      <c r="D26" s="231"/>
      <c r="E26" s="231"/>
      <c r="F26" s="263">
        <v>30928.581408165879</v>
      </c>
      <c r="G26" s="74"/>
      <c r="H26" s="1029" t="s">
        <v>377</v>
      </c>
      <c r="I26" s="1023"/>
      <c r="J26" s="768">
        <f>X19</f>
        <v>0.12</v>
      </c>
      <c r="K26" s="1015"/>
      <c r="L26" s="992">
        <f>J26*L25</f>
        <v>3383.7945763748844</v>
      </c>
      <c r="M26" s="74"/>
      <c r="N26" s="74"/>
      <c r="O26" s="114">
        <f>D25*O25</f>
        <v>3412.0460542671426</v>
      </c>
      <c r="P26" s="7" t="s">
        <v>377</v>
      </c>
      <c r="Q26" s="21"/>
      <c r="R26" s="17">
        <f>D25</f>
        <v>0.11306220647863946</v>
      </c>
      <c r="S26" s="21"/>
      <c r="T26" s="241">
        <f>R26*T25</f>
        <v>24147.234644298274</v>
      </c>
      <c r="U26" s="27"/>
      <c r="V26" s="27"/>
      <c r="W26" s="27"/>
      <c r="X26" s="27"/>
      <c r="Y26" s="27"/>
      <c r="Z26" s="27"/>
      <c r="AA26" s="27"/>
      <c r="AB26" s="27"/>
      <c r="AC26" s="27"/>
      <c r="AD26" s="27"/>
    </row>
    <row r="27" spans="1:30" ht="15.75">
      <c r="A27" s="27"/>
      <c r="B27" s="245" t="s">
        <v>380</v>
      </c>
      <c r="C27" s="265"/>
      <c r="D27" s="265"/>
      <c r="E27" s="265"/>
      <c r="F27" s="266">
        <v>2153.8664092646718</v>
      </c>
      <c r="G27" s="74"/>
      <c r="H27" s="1030" t="s">
        <v>379</v>
      </c>
      <c r="I27" s="1031"/>
      <c r="J27" s="1031"/>
      <c r="K27" s="1032"/>
      <c r="L27" s="1033">
        <f>SUM(L25:L26)</f>
        <v>31582.082712832253</v>
      </c>
      <c r="M27" s="74"/>
      <c r="N27" s="74"/>
      <c r="O27" s="114">
        <f>SUM(O25:O26)</f>
        <v>33590.53062958605</v>
      </c>
      <c r="P27" s="7" t="s">
        <v>379</v>
      </c>
      <c r="Q27" s="21"/>
      <c r="R27" s="21"/>
      <c r="S27" s="21"/>
      <c r="T27" s="241">
        <f>SUM(T25:T26)</f>
        <v>237722.00375921332</v>
      </c>
      <c r="U27" s="27"/>
      <c r="V27" s="27"/>
      <c r="W27" s="27"/>
      <c r="X27" s="27"/>
      <c r="Y27" s="27"/>
      <c r="Z27" s="27"/>
      <c r="AA27" s="27"/>
      <c r="AB27" s="27"/>
      <c r="AC27" s="27"/>
      <c r="AD27" s="27"/>
    </row>
    <row r="28" spans="1:30" ht="15.75">
      <c r="A28" s="27"/>
      <c r="B28" s="267" t="s">
        <v>381</v>
      </c>
      <c r="C28" s="246"/>
      <c r="D28" s="246"/>
      <c r="E28" s="268">
        <v>2.9824052590873982E-2</v>
      </c>
      <c r="F28" s="269">
        <f>F27*(E28+1)+0.01</f>
        <v>2218.1134343282984</v>
      </c>
      <c r="G28" s="89"/>
      <c r="H28" s="1029" t="s">
        <v>378</v>
      </c>
      <c r="I28" s="1023"/>
      <c r="J28" s="768">
        <f>X20</f>
        <v>2.6565517099262824E-2</v>
      </c>
      <c r="K28" s="1023"/>
      <c r="L28" s="992">
        <f>L27*(1+J28)</f>
        <v>32421.077071170334</v>
      </c>
      <c r="M28" s="89"/>
      <c r="N28" s="89"/>
      <c r="O28" s="162" t="e">
        <f>(O27*#REF!)+O27</f>
        <v>#REF!</v>
      </c>
      <c r="P28" s="7" t="s">
        <v>378</v>
      </c>
      <c r="Q28" s="21"/>
      <c r="R28" s="21"/>
      <c r="S28" s="21"/>
      <c r="T28" s="241" t="e">
        <f>T27+(T27*#REF!)</f>
        <v>#REF!</v>
      </c>
      <c r="U28" s="27"/>
      <c r="V28" s="27"/>
      <c r="W28" s="27"/>
      <c r="X28" s="27"/>
      <c r="Y28" s="27"/>
      <c r="Z28" s="27"/>
      <c r="AA28" s="27"/>
      <c r="AB28" s="27"/>
      <c r="AC28" s="27"/>
      <c r="AD28" s="27"/>
    </row>
    <row r="29" spans="1:30" ht="16.5" thickBot="1">
      <c r="A29" s="27"/>
      <c r="B29" s="932" t="s">
        <v>383</v>
      </c>
      <c r="C29" s="249"/>
      <c r="D29" s="249"/>
      <c r="E29" s="933">
        <v>2.7235921972764018E-2</v>
      </c>
      <c r="F29" s="934">
        <f>F28*(E29+1)-0.01</f>
        <v>2278.5157987524035</v>
      </c>
      <c r="G29" s="74"/>
      <c r="H29" s="1034" t="s">
        <v>380</v>
      </c>
      <c r="I29" s="1035"/>
      <c r="J29" s="1035"/>
      <c r="K29" s="1035"/>
      <c r="L29" s="1036">
        <f>L28/J4</f>
        <v>2947.3706428336668</v>
      </c>
      <c r="M29" s="74"/>
      <c r="N29" s="74"/>
      <c r="O29" s="162" t="e">
        <f>O28/15</f>
        <v>#REF!</v>
      </c>
      <c r="P29" s="3" t="s">
        <v>380</v>
      </c>
      <c r="Q29" s="270"/>
      <c r="R29" s="270"/>
      <c r="S29" s="270"/>
      <c r="T29" s="271" t="e">
        <f>T28/15</f>
        <v>#REF!</v>
      </c>
      <c r="U29" s="27"/>
      <c r="V29" s="935"/>
      <c r="W29" s="27"/>
      <c r="X29" s="27"/>
      <c r="Y29" s="27"/>
      <c r="Z29" s="27"/>
      <c r="AA29" s="27"/>
      <c r="AB29" s="27"/>
      <c r="AC29" s="27"/>
      <c r="AD29" s="27"/>
    </row>
    <row r="30" spans="1:30" ht="16.5" thickBot="1">
      <c r="A30" s="27"/>
      <c r="B30" s="27"/>
      <c r="C30" s="27"/>
      <c r="D30" s="27"/>
      <c r="E30" s="27"/>
      <c r="F30" s="27"/>
      <c r="G30" s="27"/>
      <c r="H30" s="1031"/>
      <c r="I30" s="1031"/>
      <c r="J30" s="1031"/>
      <c r="K30" s="743" t="s">
        <v>385</v>
      </c>
      <c r="L30" s="1023">
        <v>2449.92</v>
      </c>
      <c r="M30" s="27"/>
      <c r="N30" s="27"/>
      <c r="O30" s="27"/>
      <c r="P30" s="276" t="s">
        <v>383</v>
      </c>
      <c r="Q30" s="273"/>
      <c r="R30" s="277"/>
      <c r="S30" s="278">
        <v>2.7235921972764018E-2</v>
      </c>
      <c r="T30" s="279">
        <v>2278.5157987524035</v>
      </c>
      <c r="U30" s="27"/>
      <c r="V30" s="134"/>
      <c r="W30" s="27"/>
      <c r="X30" s="27"/>
      <c r="Y30" s="27"/>
      <c r="Z30" s="27"/>
      <c r="AA30" s="27"/>
      <c r="AB30" s="27"/>
      <c r="AC30" s="27"/>
      <c r="AD30" s="27"/>
    </row>
    <row r="31" spans="1:30">
      <c r="A31" s="27"/>
      <c r="B31" s="27"/>
      <c r="C31" s="27"/>
      <c r="D31" s="162"/>
      <c r="E31" s="27"/>
      <c r="F31" s="27"/>
      <c r="G31" s="27"/>
      <c r="H31" s="27"/>
      <c r="I31" s="27"/>
      <c r="J31" s="27"/>
      <c r="K31"/>
      <c r="L31"/>
      <c r="M31"/>
      <c r="N31"/>
      <c r="O31"/>
      <c r="P31"/>
      <c r="Q31"/>
      <c r="R31"/>
      <c r="S31"/>
      <c r="T31"/>
      <c r="U31"/>
      <c r="V31"/>
      <c r="W31" s="27"/>
      <c r="X31" s="27"/>
      <c r="Y31" s="27"/>
      <c r="Z31" s="27"/>
      <c r="AA31" s="27"/>
      <c r="AB31" s="27"/>
      <c r="AC31" s="27"/>
      <c r="AD31" s="27"/>
    </row>
    <row r="32" spans="1:30">
      <c r="A32" s="27"/>
      <c r="B32" s="27"/>
      <c r="C32" s="27"/>
      <c r="D32" s="162"/>
      <c r="E32" s="162"/>
      <c r="F32" s="27"/>
      <c r="G32" s="27"/>
      <c r="H32" s="27"/>
      <c r="I32" s="27"/>
      <c r="J32" s="27"/>
      <c r="K32"/>
      <c r="L32"/>
      <c r="M32"/>
      <c r="N32"/>
      <c r="O32"/>
      <c r="P32"/>
      <c r="Q32"/>
      <c r="R32"/>
      <c r="S32"/>
      <c r="T32"/>
      <c r="U32"/>
      <c r="V32"/>
      <c r="W32" s="27"/>
      <c r="X32" s="27"/>
      <c r="Y32" s="27"/>
      <c r="Z32" s="27"/>
      <c r="AA32" s="27"/>
      <c r="AB32" s="27"/>
      <c r="AC32" s="27"/>
      <c r="AD32" s="27"/>
    </row>
    <row r="33" spans="1:30">
      <c r="A33" s="27"/>
      <c r="B33" s="27"/>
      <c r="C33" s="27"/>
      <c r="D33" s="27"/>
      <c r="E33" s="27"/>
      <c r="F33" s="27"/>
      <c r="G33" s="27"/>
      <c r="H33" s="27"/>
      <c r="I33" s="27"/>
      <c r="J33" s="27"/>
      <c r="K33"/>
      <c r="L33"/>
      <c r="M33"/>
      <c r="N33"/>
      <c r="O33"/>
      <c r="P33"/>
      <c r="Q33"/>
      <c r="R33"/>
      <c r="S33"/>
      <c r="T33"/>
      <c r="U33"/>
      <c r="V33"/>
      <c r="W33" s="27"/>
      <c r="X33" s="27"/>
      <c r="Y33" s="27"/>
      <c r="Z33" s="27"/>
      <c r="AA33" s="27"/>
      <c r="AB33" s="27"/>
      <c r="AC33" s="27"/>
      <c r="AD33" s="27"/>
    </row>
    <row r="34" spans="1:30">
      <c r="A34" s="27"/>
      <c r="B34" s="27"/>
      <c r="C34" s="27"/>
      <c r="D34" s="162"/>
      <c r="E34" s="27"/>
      <c r="F34" s="27"/>
      <c r="G34" s="27"/>
      <c r="H34" s="27"/>
      <c r="I34" s="27"/>
      <c r="J34" s="27"/>
      <c r="K34"/>
      <c r="L34"/>
      <c r="M34"/>
      <c r="N34"/>
      <c r="O34"/>
      <c r="P34"/>
      <c r="Q34"/>
      <c r="R34"/>
      <c r="S34"/>
      <c r="T34"/>
      <c r="U34"/>
      <c r="V34"/>
      <c r="W34" s="27"/>
      <c r="X34" s="27"/>
      <c r="Y34" s="27"/>
      <c r="Z34" s="27"/>
      <c r="AA34" s="27"/>
      <c r="AB34" s="27"/>
      <c r="AC34" s="27"/>
      <c r="AD34" s="27"/>
    </row>
    <row r="35" spans="1:30">
      <c r="K35"/>
      <c r="L35"/>
      <c r="M35"/>
      <c r="N35"/>
      <c r="O35"/>
      <c r="P35"/>
      <c r="Q35"/>
      <c r="R35"/>
      <c r="S35"/>
      <c r="T35"/>
      <c r="U35"/>
      <c r="V35"/>
    </row>
    <row r="36" spans="1:30">
      <c r="K36"/>
      <c r="L36"/>
      <c r="M36"/>
      <c r="N36"/>
      <c r="O36"/>
      <c r="P36"/>
      <c r="Q36"/>
      <c r="R36"/>
      <c r="S36"/>
      <c r="T36"/>
      <c r="U36"/>
      <c r="V36"/>
    </row>
    <row r="37" spans="1:30">
      <c r="Q37" s="31"/>
    </row>
    <row r="38" spans="1:30">
      <c r="Q38" s="31"/>
    </row>
    <row r="39" spans="1:30">
      <c r="Q39" s="31"/>
    </row>
    <row r="40" spans="1:30">
      <c r="Q40" s="31"/>
    </row>
    <row r="41" spans="1:30">
      <c r="Q41" s="31"/>
    </row>
    <row r="42" spans="1:30" hidden="1">
      <c r="Q42" s="31"/>
      <c r="W42" s="5" t="s">
        <v>411</v>
      </c>
      <c r="X42" s="94">
        <v>10</v>
      </c>
      <c r="Y42" s="94" t="s">
        <v>412</v>
      </c>
      <c r="Z42" s="94"/>
      <c r="AA42" s="94"/>
      <c r="AB42" s="94"/>
    </row>
    <row r="43" spans="1:30" hidden="1">
      <c r="Q43" s="31"/>
      <c r="W43" s="6" t="s">
        <v>413</v>
      </c>
      <c r="X43" s="1">
        <v>12</v>
      </c>
      <c r="Y43" s="1" t="s">
        <v>412</v>
      </c>
    </row>
    <row r="44" spans="1:30" ht="77.099999999999994" hidden="1" customHeight="1">
      <c r="B44" s="41"/>
      <c r="C44" s="41"/>
      <c r="D44" s="95"/>
      <c r="E44" s="95"/>
      <c r="Q44" s="31"/>
      <c r="W44" s="98" t="s">
        <v>414</v>
      </c>
      <c r="X44" s="99">
        <v>15</v>
      </c>
      <c r="Y44" s="99" t="s">
        <v>412</v>
      </c>
      <c r="Z44" s="99"/>
      <c r="AA44" s="99"/>
      <c r="AB44" s="99"/>
    </row>
    <row r="45" spans="1:30" hidden="1">
      <c r="B45" s="31"/>
      <c r="C45" s="96"/>
      <c r="D45" s="97"/>
      <c r="E45" s="62"/>
      <c r="M45" s="25"/>
      <c r="N45" s="25"/>
      <c r="P45" s="41" t="s">
        <v>415</v>
      </c>
      <c r="Q45" s="41" t="s">
        <v>416</v>
      </c>
      <c r="R45" s="95">
        <v>2015</v>
      </c>
      <c r="S45" s="95">
        <v>2018</v>
      </c>
      <c r="T45" s="41">
        <v>2020</v>
      </c>
    </row>
    <row r="46" spans="1:30" hidden="1">
      <c r="B46" s="19"/>
      <c r="M46" s="25"/>
      <c r="N46" s="25"/>
      <c r="P46" s="1" t="s">
        <v>417</v>
      </c>
      <c r="Q46" s="100">
        <v>125</v>
      </c>
      <c r="R46" s="100">
        <v>128.72499999999999</v>
      </c>
      <c r="S46" s="100">
        <v>132.23094405594404</v>
      </c>
      <c r="T46" s="100" t="e">
        <f>(S46*#REF!)+S46</f>
        <v>#REF!</v>
      </c>
    </row>
    <row r="47" spans="1:30" ht="84.75" hidden="1" customHeight="1">
      <c r="B47" s="19"/>
      <c r="M47" s="25"/>
      <c r="N47" s="25"/>
      <c r="P47" s="19" t="s">
        <v>418</v>
      </c>
      <c r="X47" s="101">
        <v>8299.7000000000007</v>
      </c>
      <c r="Y47" s="1" t="s">
        <v>419</v>
      </c>
    </row>
    <row r="48" spans="1:30" hidden="1">
      <c r="X48" s="101">
        <f>X47/X44</f>
        <v>553.31333333333339</v>
      </c>
      <c r="Y48" s="1" t="s">
        <v>420</v>
      </c>
    </row>
    <row r="49" spans="24:28" hidden="1">
      <c r="X49" s="102">
        <f>X48*9</f>
        <v>4979.8200000000006</v>
      </c>
      <c r="Y49" s="103" t="s">
        <v>421</v>
      </c>
      <c r="Z49" s="103"/>
      <c r="AA49" s="103"/>
      <c r="AB49" s="103"/>
    </row>
    <row r="50" spans="24:28" hidden="1"/>
    <row r="51" spans="24:28" hidden="1">
      <c r="X51" s="101">
        <v>3716</v>
      </c>
      <c r="Y51" s="1" t="s">
        <v>422</v>
      </c>
    </row>
    <row r="52" spans="24:28" hidden="1">
      <c r="X52" s="101">
        <f>X51/X42</f>
        <v>371.6</v>
      </c>
      <c r="Y52" s="1" t="s">
        <v>423</v>
      </c>
    </row>
    <row r="53" spans="24:28" hidden="1"/>
    <row r="54" spans="24:28" hidden="1">
      <c r="X54" s="101">
        <v>1025</v>
      </c>
      <c r="Y54" s="1" t="s">
        <v>424</v>
      </c>
    </row>
    <row r="55" spans="24:28" hidden="1">
      <c r="X55" s="104">
        <f>X54/X44</f>
        <v>68.333333333333329</v>
      </c>
      <c r="Y55" s="1" t="s">
        <v>425</v>
      </c>
    </row>
    <row r="56" spans="24:28" hidden="1">
      <c r="X56" s="104">
        <f>X55/X42</f>
        <v>6.833333333333333</v>
      </c>
      <c r="Y56" s="1" t="s">
        <v>426</v>
      </c>
    </row>
    <row r="57" spans="24:28" hidden="1"/>
    <row r="58" spans="24:28" hidden="1">
      <c r="X58" s="100">
        <v>1898</v>
      </c>
      <c r="Y58" s="1" t="s">
        <v>427</v>
      </c>
    </row>
    <row r="59" spans="24:28" hidden="1"/>
    <row r="60" spans="24:28" hidden="1">
      <c r="X60" s="100">
        <v>44.32</v>
      </c>
      <c r="Y60" s="1" t="s">
        <v>428</v>
      </c>
    </row>
    <row r="61" spans="24:28" hidden="1">
      <c r="X61" s="100"/>
    </row>
    <row r="62" spans="24:28" hidden="1">
      <c r="X62" s="100">
        <v>3371.64</v>
      </c>
      <c r="Y62" s="1" t="s">
        <v>429</v>
      </c>
    </row>
    <row r="63" spans="24:28" hidden="1">
      <c r="X63" s="100">
        <f>X62/X42</f>
        <v>337.16399999999999</v>
      </c>
    </row>
    <row r="64" spans="24:28" hidden="1"/>
    <row r="65" hidden="1"/>
    <row r="66" hidden="1"/>
    <row r="67" hidden="1"/>
  </sheetData>
  <mergeCells count="4">
    <mergeCell ref="W3:AB3"/>
    <mergeCell ref="W4:AB4"/>
    <mergeCell ref="W8:AB8"/>
    <mergeCell ref="H3:K3"/>
  </mergeCells>
  <pageMargins left="0.7" right="0.7" top="0.75" bottom="0.75" header="0.3" footer="0.3"/>
  <pageSetup scale="68" orientation="landscape"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89180-FC63-471F-8F4C-95805E1B7501}">
  <sheetPr>
    <tabColor rgb="FFFFFF00"/>
  </sheetPr>
  <dimension ref="C2:T46"/>
  <sheetViews>
    <sheetView topLeftCell="A26" zoomScale="145" zoomScaleNormal="145" workbookViewId="0">
      <selection activeCell="S36" sqref="S36"/>
    </sheetView>
  </sheetViews>
  <sheetFormatPr defaultRowHeight="15"/>
  <cols>
    <col min="2" max="2" width="0" hidden="1" customWidth="1"/>
    <col min="3" max="3" width="22.28515625" hidden="1" customWidth="1"/>
    <col min="4" max="4" width="10.85546875" hidden="1" customWidth="1"/>
    <col min="5" max="5" width="0" style="371" hidden="1" customWidth="1"/>
    <col min="6" max="10" width="0" hidden="1" customWidth="1"/>
    <col min="13" max="13" width="70.85546875" style="610" customWidth="1"/>
    <col min="14" max="14" width="16.5703125" customWidth="1"/>
    <col min="15" max="15" width="13.7109375" style="936" customWidth="1"/>
    <col min="16" max="16" width="10.5703125" hidden="1" customWidth="1"/>
    <col min="17" max="17" width="0" hidden="1" customWidth="1"/>
    <col min="18" max="18" width="9.140625" style="370"/>
  </cols>
  <sheetData>
    <row r="2" spans="3:20" ht="15.75" thickBot="1"/>
    <row r="3" spans="3:20" ht="15.75" thickBot="1">
      <c r="C3" s="395" t="s">
        <v>529</v>
      </c>
      <c r="D3" s="396" t="s">
        <v>530</v>
      </c>
      <c r="E3" s="1199" t="s">
        <v>346</v>
      </c>
      <c r="F3" s="1200"/>
      <c r="M3" s="837" t="s">
        <v>560</v>
      </c>
      <c r="N3" s="838" t="s">
        <v>649</v>
      </c>
      <c r="O3" s="839" t="s">
        <v>346</v>
      </c>
      <c r="P3" t="s">
        <v>666</v>
      </c>
    </row>
    <row r="4" spans="3:20">
      <c r="C4" s="388" t="s">
        <v>525</v>
      </c>
      <c r="D4" t="s">
        <v>526</v>
      </c>
      <c r="E4" s="389">
        <f>'Safe &amp; Stable'!E35</f>
        <v>78.815605488730085</v>
      </c>
      <c r="F4" s="390" t="s">
        <v>528</v>
      </c>
      <c r="M4" s="944" t="s">
        <v>582</v>
      </c>
      <c r="N4" s="614"/>
      <c r="O4" s="937"/>
    </row>
    <row r="5" spans="3:20">
      <c r="C5" s="388"/>
      <c r="E5" s="389"/>
      <c r="F5" s="390"/>
      <c r="M5" s="945" t="s">
        <v>626</v>
      </c>
      <c r="N5" s="615" t="s">
        <v>528</v>
      </c>
      <c r="O5" s="938">
        <f>'Safe &amp; Stable'!E35</f>
        <v>78.815605488730085</v>
      </c>
      <c r="P5" s="936">
        <v>72.219089659137722</v>
      </c>
      <c r="Q5" s="971">
        <f>(O5-P5)/P5</f>
        <v>9.134033481627693E-2</v>
      </c>
      <c r="T5" s="1038"/>
    </row>
    <row r="6" spans="3:20">
      <c r="C6" s="388"/>
      <c r="E6" s="389"/>
      <c r="F6" s="390"/>
      <c r="M6" s="945" t="s">
        <v>596</v>
      </c>
      <c r="N6" s="615" t="s">
        <v>528</v>
      </c>
      <c r="O6" s="938">
        <f>'Safe &amp; Stable'!L35</f>
        <v>79.278534975220623</v>
      </c>
      <c r="P6" s="936">
        <v>71.669193840598396</v>
      </c>
      <c r="Q6" s="971">
        <f t="shared" ref="Q6:Q46" si="0">(O6-P6)/P6</f>
        <v>0.10617310907035442</v>
      </c>
      <c r="T6" s="1038"/>
    </row>
    <row r="7" spans="3:20" ht="15.75" thickBot="1">
      <c r="C7" s="388"/>
      <c r="E7" s="389"/>
      <c r="F7" s="390"/>
      <c r="M7" s="946" t="s">
        <v>636</v>
      </c>
      <c r="N7" s="616" t="s">
        <v>537</v>
      </c>
      <c r="O7" s="939">
        <f>'Safe &amp; Stable'!T36</f>
        <v>72.113602024093467</v>
      </c>
      <c r="P7" s="936">
        <v>64.016792383292156</v>
      </c>
      <c r="Q7" s="971">
        <f t="shared" si="0"/>
        <v>0.12647946483045769</v>
      </c>
      <c r="T7" s="1038"/>
    </row>
    <row r="8" spans="3:20">
      <c r="C8" s="388" t="s">
        <v>525</v>
      </c>
      <c r="D8" t="s">
        <v>527</v>
      </c>
      <c r="E8" s="389">
        <f>'Safe &amp; Stable'!L35</f>
        <v>79.278534975220623</v>
      </c>
      <c r="F8" s="390" t="s">
        <v>528</v>
      </c>
      <c r="M8" s="947" t="s">
        <v>583</v>
      </c>
      <c r="N8" s="613"/>
      <c r="O8" s="927"/>
      <c r="P8" s="936"/>
      <c r="Q8" s="971"/>
      <c r="T8" s="1038"/>
    </row>
    <row r="9" spans="3:20">
      <c r="C9" s="388" t="s">
        <v>531</v>
      </c>
      <c r="D9" t="s">
        <v>533</v>
      </c>
      <c r="E9" s="389">
        <f>'Prep Support'!E34</f>
        <v>86.340556583966745</v>
      </c>
      <c r="F9" s="390" t="s">
        <v>528</v>
      </c>
      <c r="M9" s="607" t="s">
        <v>627</v>
      </c>
      <c r="N9" s="613" t="s">
        <v>528</v>
      </c>
      <c r="O9" s="927">
        <f>'Prep Support'!E34</f>
        <v>86.340556583966745</v>
      </c>
      <c r="P9" s="936">
        <v>77.751349942596363</v>
      </c>
      <c r="Q9" s="971">
        <f t="shared" si="0"/>
        <v>0.11047019309261862</v>
      </c>
      <c r="T9" s="1038"/>
    </row>
    <row r="10" spans="3:20">
      <c r="C10" s="388" t="s">
        <v>531</v>
      </c>
      <c r="D10" t="s">
        <v>532</v>
      </c>
      <c r="E10" s="389">
        <f>'Prep Support'!L34</f>
        <v>107.63052197251633</v>
      </c>
      <c r="F10" s="390" t="s">
        <v>528</v>
      </c>
      <c r="M10" s="607" t="s">
        <v>597</v>
      </c>
      <c r="N10" s="613" t="s">
        <v>528</v>
      </c>
      <c r="O10" s="927">
        <f>'Prep Support'!L34</f>
        <v>107.63052197251633</v>
      </c>
      <c r="P10" s="936">
        <v>96.89230998961331</v>
      </c>
      <c r="Q10" s="971">
        <f t="shared" si="0"/>
        <v>0.11082625632575116</v>
      </c>
      <c r="T10" s="1038"/>
    </row>
    <row r="11" spans="3:20" ht="15.75" thickBot="1">
      <c r="C11" s="388" t="s">
        <v>531</v>
      </c>
      <c r="D11" t="s">
        <v>534</v>
      </c>
      <c r="E11" s="389">
        <f>'Prep Support'!S34</f>
        <v>82.317854822843657</v>
      </c>
      <c r="F11" s="390" t="s">
        <v>528</v>
      </c>
      <c r="M11" s="607" t="s">
        <v>607</v>
      </c>
      <c r="N11" s="613" t="s">
        <v>528</v>
      </c>
      <c r="O11" s="927">
        <f>'Prep Support'!S34</f>
        <v>82.317854822843657</v>
      </c>
      <c r="P11" s="936">
        <v>74.701080340931057</v>
      </c>
      <c r="Q11" s="971">
        <f t="shared" si="0"/>
        <v>0.10196337786749693</v>
      </c>
      <c r="T11" s="1038"/>
    </row>
    <row r="12" spans="3:20">
      <c r="C12" s="388" t="s">
        <v>535</v>
      </c>
      <c r="D12" t="s">
        <v>556</v>
      </c>
      <c r="E12" s="389">
        <f>Therapeutic!E36</f>
        <v>122.16927618994458</v>
      </c>
      <c r="F12" s="390" t="s">
        <v>528</v>
      </c>
      <c r="M12" s="944" t="s">
        <v>635</v>
      </c>
      <c r="N12" s="617"/>
      <c r="O12" s="937"/>
      <c r="P12" s="936"/>
      <c r="Q12" s="971"/>
      <c r="T12" s="1038"/>
    </row>
    <row r="13" spans="3:20">
      <c r="C13" s="388" t="s">
        <v>536</v>
      </c>
      <c r="D13" t="s">
        <v>557</v>
      </c>
      <c r="E13" s="389" t="e">
        <f>'Substance Use Interventions CW'!L36</f>
        <v>#REF!</v>
      </c>
      <c r="F13" s="390" t="s">
        <v>537</v>
      </c>
      <c r="M13" s="945" t="s">
        <v>631</v>
      </c>
      <c r="N13" s="615" t="s">
        <v>528</v>
      </c>
      <c r="O13" s="938">
        <f>Therapeutic!E36</f>
        <v>122.16927618994458</v>
      </c>
      <c r="P13" s="936">
        <v>107.39128465828487</v>
      </c>
      <c r="Q13" s="971">
        <f t="shared" si="0"/>
        <v>0.13760885325734518</v>
      </c>
      <c r="T13" s="1038"/>
    </row>
    <row r="14" spans="3:20" ht="15.75" thickBot="1">
      <c r="C14" s="388"/>
      <c r="E14" s="389"/>
      <c r="F14" s="390"/>
      <c r="M14" s="946" t="s">
        <v>632</v>
      </c>
      <c r="N14" s="616" t="s">
        <v>528</v>
      </c>
      <c r="O14" s="939">
        <f>Therapeutic!E36</f>
        <v>122.16927618994458</v>
      </c>
      <c r="P14" s="936">
        <v>107.39128465828487</v>
      </c>
      <c r="Q14" s="971">
        <f t="shared" si="0"/>
        <v>0.13760885325734518</v>
      </c>
      <c r="T14" s="1038"/>
    </row>
    <row r="15" spans="3:20">
      <c r="C15" s="388" t="s">
        <v>536</v>
      </c>
      <c r="D15" t="s">
        <v>534</v>
      </c>
      <c r="E15" s="389">
        <f>'Substance Use Interventions CW'!S35</f>
        <v>69.699056770468829</v>
      </c>
      <c r="F15" s="390" t="s">
        <v>537</v>
      </c>
      <c r="M15" s="947" t="s">
        <v>714</v>
      </c>
      <c r="N15" s="613"/>
      <c r="O15" s="927"/>
      <c r="P15" s="936"/>
      <c r="Q15" s="971"/>
      <c r="T15" s="1038"/>
    </row>
    <row r="16" spans="3:20">
      <c r="C16" s="388" t="s">
        <v>538</v>
      </c>
      <c r="D16" t="s">
        <v>539</v>
      </c>
      <c r="E16" s="389">
        <f>'Comprehensive Services'!I36</f>
        <v>133.84954581667606</v>
      </c>
      <c r="F16" s="390" t="s">
        <v>537</v>
      </c>
      <c r="M16" s="1054" t="s">
        <v>716</v>
      </c>
      <c r="N16" s="613" t="s">
        <v>537</v>
      </c>
      <c r="O16" s="927">
        <f>'Substance Use Interventions CW'!E35</f>
        <v>93.60101947132209</v>
      </c>
      <c r="P16" s="936">
        <v>82.848999555417066</v>
      </c>
      <c r="Q16" s="971">
        <f t="shared" si="0"/>
        <v>0.12977851239728103</v>
      </c>
      <c r="T16" s="1038"/>
    </row>
    <row r="17" spans="3:20">
      <c r="C17" s="388"/>
      <c r="E17" s="389"/>
      <c r="F17" s="390"/>
      <c r="M17" s="607" t="s">
        <v>715</v>
      </c>
      <c r="N17" s="613" t="s">
        <v>537</v>
      </c>
      <c r="O17" s="927">
        <f>'Substance Use Interventions CW'!E35</f>
        <v>93.60101947132209</v>
      </c>
      <c r="P17" s="936">
        <v>82.848999555417066</v>
      </c>
      <c r="Q17" s="971">
        <f t="shared" si="0"/>
        <v>0.12977851239728103</v>
      </c>
      <c r="T17" s="1038"/>
    </row>
    <row r="18" spans="3:20" ht="30.75" thickBot="1">
      <c r="C18" s="388" t="s">
        <v>538</v>
      </c>
      <c r="D18" t="s">
        <v>554</v>
      </c>
      <c r="E18" s="389">
        <f>'Comprehensive Services'!P36</f>
        <v>182.7785107149744</v>
      </c>
      <c r="F18" s="390" t="s">
        <v>537</v>
      </c>
      <c r="M18" s="607" t="s">
        <v>721</v>
      </c>
      <c r="N18" s="612" t="s">
        <v>537</v>
      </c>
      <c r="O18" s="940">
        <f>'Substance Use Interventions CW'!S35</f>
        <v>69.699056770468829</v>
      </c>
      <c r="P18" s="936">
        <v>62.707252923379954</v>
      </c>
      <c r="Q18" s="971">
        <f t="shared" si="0"/>
        <v>0.111499125238861</v>
      </c>
      <c r="T18" s="1038"/>
    </row>
    <row r="19" spans="3:20">
      <c r="C19" s="388" t="s">
        <v>538</v>
      </c>
      <c r="D19" t="s">
        <v>555</v>
      </c>
      <c r="E19" s="389">
        <f>'Comprehensive Services'!W38</f>
        <v>165.19946980073047</v>
      </c>
      <c r="F19" s="390" t="s">
        <v>537</v>
      </c>
      <c r="M19" s="944" t="s">
        <v>587</v>
      </c>
      <c r="N19" s="617"/>
      <c r="O19" s="937"/>
      <c r="P19" s="936"/>
      <c r="Q19" s="971"/>
      <c r="T19" s="1038"/>
    </row>
    <row r="20" spans="3:20">
      <c r="C20" s="388" t="s">
        <v>540</v>
      </c>
      <c r="D20" t="s">
        <v>541</v>
      </c>
      <c r="E20" s="389" t="e">
        <f>'Youth Support'!#REF!</f>
        <v>#REF!</v>
      </c>
      <c r="F20" s="390" t="s">
        <v>537</v>
      </c>
      <c r="M20" s="945" t="s">
        <v>598</v>
      </c>
      <c r="N20" s="615" t="str">
        <f>F21</f>
        <v>Hourly</v>
      </c>
      <c r="O20" s="938">
        <f>'Youth Support'!D37</f>
        <v>53.975290707367122</v>
      </c>
      <c r="P20" s="936">
        <v>48.811726038524164</v>
      </c>
      <c r="Q20" s="971">
        <f t="shared" si="0"/>
        <v>0.10578533249915538</v>
      </c>
      <c r="T20" s="1038"/>
    </row>
    <row r="21" spans="3:20">
      <c r="C21" s="388" t="s">
        <v>540</v>
      </c>
      <c r="D21" t="s">
        <v>312</v>
      </c>
      <c r="E21" s="389">
        <f>'Youth Support'!D37</f>
        <v>53.975290707367122</v>
      </c>
      <c r="F21" s="390" t="s">
        <v>528</v>
      </c>
      <c r="M21" s="945" t="s">
        <v>599</v>
      </c>
      <c r="N21" s="615" t="str">
        <f>F22</f>
        <v>Daily</v>
      </c>
      <c r="O21" s="938">
        <f>'Youth Support'!K37</f>
        <v>77.599417035670882</v>
      </c>
      <c r="P21" s="936">
        <v>69.512837142447879</v>
      </c>
      <c r="Q21" s="971">
        <f t="shared" si="0"/>
        <v>0.11633218015043367</v>
      </c>
      <c r="T21" s="1038"/>
    </row>
    <row r="22" spans="3:20">
      <c r="C22" s="388" t="s">
        <v>540</v>
      </c>
      <c r="D22" t="s">
        <v>542</v>
      </c>
      <c r="E22" s="389">
        <f>'Youth Support'!K37</f>
        <v>77.599417035670882</v>
      </c>
      <c r="F22" s="390" t="s">
        <v>537</v>
      </c>
      <c r="M22" s="945" t="s">
        <v>600</v>
      </c>
      <c r="N22" s="615" t="str">
        <f>F23</f>
        <v>Hourly</v>
      </c>
      <c r="O22" s="938">
        <f>'Youth Support'!D79</f>
        <v>84.136546999123823</v>
      </c>
      <c r="P22" s="936">
        <v>74.444937324486645</v>
      </c>
      <c r="Q22" s="971">
        <f t="shared" si="0"/>
        <v>0.13018493967419037</v>
      </c>
      <c r="T22" s="1038"/>
    </row>
    <row r="23" spans="3:20" ht="15.75" thickBot="1">
      <c r="C23" s="388" t="s">
        <v>540</v>
      </c>
      <c r="D23" t="s">
        <v>543</v>
      </c>
      <c r="E23" s="389">
        <f>'Youth Support'!D79</f>
        <v>84.136546999123823</v>
      </c>
      <c r="F23" s="390" t="s">
        <v>528</v>
      </c>
      <c r="M23" s="946" t="s">
        <v>601</v>
      </c>
      <c r="N23" s="616" t="str">
        <f>F24</f>
        <v>Daily</v>
      </c>
      <c r="O23" s="939">
        <f>'Youth Support'!K79</f>
        <v>95.08992633111508</v>
      </c>
      <c r="P23" s="936">
        <v>85.395548128300973</v>
      </c>
      <c r="Q23" s="971">
        <f t="shared" si="0"/>
        <v>0.11352322709199041</v>
      </c>
      <c r="T23" s="1038"/>
    </row>
    <row r="24" spans="3:20">
      <c r="C24" s="388" t="s">
        <v>540</v>
      </c>
      <c r="D24" t="s">
        <v>544</v>
      </c>
      <c r="E24" s="389">
        <f>'Youth Support'!K79</f>
        <v>95.08992633111508</v>
      </c>
      <c r="F24" s="390" t="s">
        <v>537</v>
      </c>
      <c r="M24" s="948" t="s">
        <v>558</v>
      </c>
      <c r="N24" s="925"/>
      <c r="O24" s="941"/>
      <c r="P24" s="936"/>
      <c r="Q24" s="971"/>
      <c r="T24" s="1038"/>
    </row>
    <row r="25" spans="3:20">
      <c r="C25" s="388" t="s">
        <v>545</v>
      </c>
      <c r="D25" t="s">
        <v>545</v>
      </c>
      <c r="E25" s="389">
        <f>'Family Crisis'!E34</f>
        <v>164.28552529615664</v>
      </c>
      <c r="F25" s="390" t="s">
        <v>537</v>
      </c>
      <c r="M25" s="607" t="s">
        <v>602</v>
      </c>
      <c r="N25" s="926" t="s">
        <v>537</v>
      </c>
      <c r="O25" s="927">
        <f>'Evidenced Based'!E36</f>
        <v>149.57619492914296</v>
      </c>
      <c r="P25" s="936">
        <v>129.68896639390871</v>
      </c>
      <c r="Q25" s="971">
        <f t="shared" si="0"/>
        <v>0.15334557046919539</v>
      </c>
      <c r="T25" s="1038"/>
    </row>
    <row r="26" spans="3:20" ht="30">
      <c r="C26" s="388"/>
      <c r="E26" s="389"/>
      <c r="F26" s="390"/>
      <c r="M26" s="607" t="s">
        <v>640</v>
      </c>
      <c r="N26" s="926" t="s">
        <v>648</v>
      </c>
      <c r="O26" s="927" t="s">
        <v>609</v>
      </c>
      <c r="P26" s="936" t="s">
        <v>609</v>
      </c>
      <c r="Q26" s="971"/>
      <c r="T26" s="1038"/>
    </row>
    <row r="27" spans="3:20">
      <c r="C27" s="388" t="s">
        <v>546</v>
      </c>
      <c r="D27" t="s">
        <v>547</v>
      </c>
      <c r="E27" s="389">
        <f>'Evidenced Based'!E36</f>
        <v>149.57619492914296</v>
      </c>
      <c r="F27" s="390" t="s">
        <v>537</v>
      </c>
      <c r="M27" s="607" t="s">
        <v>603</v>
      </c>
      <c r="N27" s="926" t="s">
        <v>528</v>
      </c>
      <c r="O27" s="927">
        <f>'Evidenced Based'!L36</f>
        <v>170.34446097047046</v>
      </c>
      <c r="P27" s="936">
        <v>145.74562391329513</v>
      </c>
      <c r="Q27" s="971">
        <f t="shared" si="0"/>
        <v>0.16877924974138031</v>
      </c>
      <c r="T27" s="1038"/>
    </row>
    <row r="28" spans="3:20">
      <c r="C28" s="388" t="s">
        <v>546</v>
      </c>
      <c r="D28" t="s">
        <v>548</v>
      </c>
      <c r="E28" s="389">
        <f>'Evidenced Based'!L36</f>
        <v>170.34446097047046</v>
      </c>
      <c r="F28" s="390" t="s">
        <v>528</v>
      </c>
      <c r="M28" s="607" t="s">
        <v>604</v>
      </c>
      <c r="N28" s="926" t="s">
        <v>537</v>
      </c>
      <c r="O28" s="927">
        <f>'Evidenced Based'!S36</f>
        <v>170.445598417757</v>
      </c>
      <c r="P28" s="936">
        <v>150.19340801552153</v>
      </c>
      <c r="Q28" s="971">
        <f t="shared" si="0"/>
        <v>0.13484074081428751</v>
      </c>
      <c r="T28" s="1038"/>
    </row>
    <row r="29" spans="3:20" ht="30.75" thickBot="1">
      <c r="C29" s="388"/>
      <c r="E29" s="389"/>
      <c r="F29" s="390"/>
      <c r="M29" s="607" t="s">
        <v>641</v>
      </c>
      <c r="N29" s="926" t="s">
        <v>648</v>
      </c>
      <c r="O29" s="927" t="s">
        <v>609</v>
      </c>
      <c r="P29" s="936" t="s">
        <v>609</v>
      </c>
      <c r="Q29" s="971"/>
      <c r="T29" s="1038"/>
    </row>
    <row r="30" spans="3:20">
      <c r="C30" s="388" t="s">
        <v>549</v>
      </c>
      <c r="D30" t="s">
        <v>549</v>
      </c>
      <c r="E30" s="389">
        <f>Respite!E32</f>
        <v>79.899039430990669</v>
      </c>
      <c r="F30" s="390" t="s">
        <v>528</v>
      </c>
      <c r="M30" s="949" t="s">
        <v>588</v>
      </c>
      <c r="N30" s="617"/>
      <c r="O30" s="937"/>
      <c r="P30" s="936"/>
      <c r="Q30" s="971"/>
      <c r="T30" s="1038"/>
    </row>
    <row r="31" spans="3:20" ht="15.75" thickBot="1">
      <c r="C31" s="388" t="s">
        <v>549</v>
      </c>
      <c r="D31" t="s">
        <v>549</v>
      </c>
      <c r="E31" s="389">
        <f>Respite!E33</f>
        <v>385.26660109190021</v>
      </c>
      <c r="F31" s="390" t="s">
        <v>537</v>
      </c>
      <c r="M31" s="946" t="s">
        <v>605</v>
      </c>
      <c r="N31" s="616" t="s">
        <v>537</v>
      </c>
      <c r="O31" s="939">
        <f>'Family Crisis'!E34</f>
        <v>164.28552529615664</v>
      </c>
      <c r="P31" s="936">
        <v>144.8276638503753</v>
      </c>
      <c r="Q31" s="971">
        <f t="shared" si="0"/>
        <v>0.13435182843164331</v>
      </c>
      <c r="T31" s="1038"/>
    </row>
    <row r="32" spans="3:20" ht="15.75" thickBot="1">
      <c r="C32" s="391" t="s">
        <v>637</v>
      </c>
      <c r="D32" s="392" t="s">
        <v>550</v>
      </c>
      <c r="E32" s="393">
        <f>'Assessment Services'!E34</f>
        <v>111.13501113413336</v>
      </c>
      <c r="F32" s="394" t="s">
        <v>528</v>
      </c>
      <c r="M32" s="948" t="s">
        <v>717</v>
      </c>
      <c r="N32" s="611"/>
      <c r="O32" s="941"/>
      <c r="P32" s="936"/>
      <c r="Q32" s="971"/>
      <c r="T32" s="1038"/>
    </row>
    <row r="33" spans="13:20">
      <c r="M33" s="607" t="s">
        <v>642</v>
      </c>
      <c r="N33" s="613" t="str">
        <f>F30</f>
        <v>Hourly</v>
      </c>
      <c r="O33" s="927">
        <f>Respite!E32</f>
        <v>79.899039430990669</v>
      </c>
      <c r="P33" s="936">
        <v>72.344891461389537</v>
      </c>
      <c r="Q33" s="971">
        <f t="shared" si="0"/>
        <v>0.10441854036967876</v>
      </c>
      <c r="T33" s="1038"/>
    </row>
    <row r="34" spans="13:20" ht="15.75" thickBot="1">
      <c r="M34" s="607" t="s">
        <v>643</v>
      </c>
      <c r="N34" s="613" t="str">
        <f>F31</f>
        <v>Daily</v>
      </c>
      <c r="O34" s="927">
        <f>Respite!E33</f>
        <v>385.26660109190021</v>
      </c>
      <c r="P34" s="936">
        <v>348.84112047135778</v>
      </c>
      <c r="Q34" s="971">
        <f t="shared" si="0"/>
        <v>0.10441854036967872</v>
      </c>
      <c r="T34" s="1038"/>
    </row>
    <row r="35" spans="13:20">
      <c r="M35" s="944" t="s">
        <v>638</v>
      </c>
      <c r="N35" s="617"/>
      <c r="O35" s="659"/>
      <c r="P35" s="936"/>
      <c r="Q35" s="971"/>
      <c r="T35" s="1038"/>
    </row>
    <row r="36" spans="13:20" ht="15.75" thickBot="1">
      <c r="M36" s="945" t="s">
        <v>639</v>
      </c>
      <c r="N36" s="615" t="str">
        <f>F32</f>
        <v>Hourly</v>
      </c>
      <c r="O36" s="938">
        <f>'Assessment Services'!E34</f>
        <v>111.13501113413336</v>
      </c>
      <c r="P36" s="936">
        <v>97.089655785202098</v>
      </c>
      <c r="Q36" s="971">
        <f t="shared" si="0"/>
        <v>0.14466376706499753</v>
      </c>
      <c r="T36" s="1038"/>
    </row>
    <row r="37" spans="13:20">
      <c r="M37" s="948" t="s">
        <v>586</v>
      </c>
      <c r="N37" s="611"/>
      <c r="O37" s="941"/>
      <c r="P37" s="936"/>
      <c r="Q37" s="971"/>
      <c r="T37" s="1038"/>
    </row>
    <row r="38" spans="13:20" ht="15.75" thickBot="1">
      <c r="M38" s="607" t="s">
        <v>561</v>
      </c>
      <c r="N38" s="613" t="s">
        <v>528</v>
      </c>
      <c r="O38" s="927">
        <f>'Mediation Services'!E32</f>
        <v>100.50498158865143</v>
      </c>
      <c r="P38" s="936">
        <v>89.670087615381959</v>
      </c>
      <c r="Q38" s="971">
        <f t="shared" si="0"/>
        <v>0.12083063886078842</v>
      </c>
      <c r="T38" s="1038"/>
    </row>
    <row r="39" spans="13:20">
      <c r="M39" s="944" t="s">
        <v>559</v>
      </c>
      <c r="N39" s="617"/>
      <c r="O39" s="937"/>
      <c r="P39" s="936"/>
      <c r="Q39" s="971"/>
      <c r="T39" s="1038"/>
    </row>
    <row r="40" spans="13:20">
      <c r="M40" s="945" t="s">
        <v>628</v>
      </c>
      <c r="N40" s="615" t="s">
        <v>537</v>
      </c>
      <c r="O40" s="938">
        <f>'Comprehensive Services'!D36</f>
        <v>89.847478147832831</v>
      </c>
      <c r="P40" s="936">
        <v>80.6474118033411</v>
      </c>
      <c r="Q40" s="971">
        <f t="shared" si="0"/>
        <v>0.11407763917986746</v>
      </c>
      <c r="T40" s="1038"/>
    </row>
    <row r="41" spans="13:20">
      <c r="M41" s="945" t="s">
        <v>629</v>
      </c>
      <c r="N41" s="615" t="s">
        <v>537</v>
      </c>
      <c r="O41" s="938">
        <f>'Comprehensive Services'!I36</f>
        <v>133.84954581667606</v>
      </c>
      <c r="P41" s="936">
        <v>119.80404281600521</v>
      </c>
      <c r="Q41" s="971">
        <f t="shared" si="0"/>
        <v>0.11723730410535396</v>
      </c>
      <c r="T41" s="1038"/>
    </row>
    <row r="42" spans="13:20">
      <c r="M42" s="945" t="s">
        <v>606</v>
      </c>
      <c r="N42" s="615" t="s">
        <v>537</v>
      </c>
      <c r="O42" s="938">
        <f>'Comprehensive Services'!P36</f>
        <v>182.7785107149744</v>
      </c>
      <c r="P42" s="936">
        <v>161.67406954097083</v>
      </c>
      <c r="Q42" s="971">
        <f t="shared" si="0"/>
        <v>0.13053695768235338</v>
      </c>
      <c r="T42" s="1038"/>
    </row>
    <row r="43" spans="13:20" ht="15.75" thickBot="1">
      <c r="M43" s="946" t="s">
        <v>633</v>
      </c>
      <c r="N43" s="616" t="s">
        <v>537</v>
      </c>
      <c r="O43" s="939">
        <f>'Comprehensive Services'!W38</f>
        <v>165.19946980073047</v>
      </c>
      <c r="P43" s="936">
        <v>147.09619273739335</v>
      </c>
      <c r="Q43" s="971">
        <f t="shared" si="0"/>
        <v>0.12307101038064515</v>
      </c>
      <c r="T43" s="1038"/>
    </row>
    <row r="44" spans="13:20">
      <c r="M44" s="944" t="s">
        <v>644</v>
      </c>
      <c r="N44" s="617"/>
      <c r="O44" s="937"/>
      <c r="P44" s="936"/>
      <c r="Q44" s="971"/>
      <c r="T44" s="1038"/>
    </row>
    <row r="45" spans="13:20">
      <c r="M45" s="945" t="s">
        <v>645</v>
      </c>
      <c r="N45" s="615" t="s">
        <v>647</v>
      </c>
      <c r="O45" s="942">
        <f ca="1">'Child Welfare Groups'!L23</f>
        <v>2115.8683326498503</v>
      </c>
      <c r="P45" s="936">
        <v>1905.6229029041615</v>
      </c>
      <c r="Q45" s="971">
        <f t="shared" ca="1" si="0"/>
        <v>0.11032897926723891</v>
      </c>
      <c r="T45" s="1038"/>
    </row>
    <row r="46" spans="13:20" ht="15.75" thickBot="1">
      <c r="M46" s="946" t="s">
        <v>646</v>
      </c>
      <c r="N46" s="616" t="s">
        <v>647</v>
      </c>
      <c r="O46" s="943">
        <f>'Child Welfare Specialty Groups'!L29</f>
        <v>2947.3706428336668</v>
      </c>
      <c r="P46" s="936">
        <v>2740.316309392711</v>
      </c>
      <c r="Q46" s="971">
        <f t="shared" si="0"/>
        <v>7.555855239457436E-2</v>
      </c>
      <c r="T46" s="1038"/>
    </row>
  </sheetData>
  <mergeCells count="1">
    <mergeCell ref="E3:F3"/>
  </mergeCells>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pageSetUpPr fitToPage="1"/>
  </sheetPr>
  <dimension ref="B1:T37"/>
  <sheetViews>
    <sheetView topLeftCell="G1" zoomScale="150" zoomScaleNormal="150" workbookViewId="0">
      <selection activeCell="O27" sqref="O27"/>
    </sheetView>
  </sheetViews>
  <sheetFormatPr defaultRowHeight="15"/>
  <cols>
    <col min="1" max="1" width="8.85546875" style="1"/>
    <col min="2" max="2" width="32" style="1" hidden="1" customWidth="1"/>
    <col min="3" max="3" width="0" style="1" hidden="1" customWidth="1"/>
    <col min="4" max="4" width="12.85546875" style="1" hidden="1" customWidth="1"/>
    <col min="5" max="5" width="13.5703125" style="1" hidden="1" customWidth="1"/>
    <col min="6" max="6" width="15.42578125" style="1" hidden="1" customWidth="1"/>
    <col min="7" max="7" width="8.85546875" style="1"/>
    <col min="8" max="8" width="32.42578125" style="1" customWidth="1"/>
    <col min="9" max="9" width="10.42578125" style="1" customWidth="1"/>
    <col min="10" max="10" width="8.85546875" style="1"/>
    <col min="11" max="11" width="16" style="1" customWidth="1"/>
    <col min="12" max="12" width="9.140625" style="1" customWidth="1"/>
    <col min="13" max="13" width="4.85546875" style="1" customWidth="1"/>
    <col min="14" max="14" width="24.42578125" style="1" customWidth="1"/>
    <col min="15" max="15" width="11.5703125" style="1" bestFit="1" customWidth="1"/>
    <col min="16" max="256" width="8.85546875" style="1"/>
    <col min="257" max="257" width="32" style="1" customWidth="1"/>
    <col min="258" max="258" width="8.85546875" style="1"/>
    <col min="259" max="259" width="12.85546875" style="1" customWidth="1"/>
    <col min="260" max="260" width="13.5703125" style="1" customWidth="1"/>
    <col min="261" max="261" width="15.42578125" style="1" customWidth="1"/>
    <col min="262" max="512" width="8.85546875" style="1"/>
    <col min="513" max="513" width="32" style="1" customWidth="1"/>
    <col min="514" max="514" width="8.85546875" style="1"/>
    <col min="515" max="515" width="12.85546875" style="1" customWidth="1"/>
    <col min="516" max="516" width="13.5703125" style="1" customWidth="1"/>
    <col min="517" max="517" width="15.42578125" style="1" customWidth="1"/>
    <col min="518" max="768" width="8.85546875" style="1"/>
    <col min="769" max="769" width="32" style="1" customWidth="1"/>
    <col min="770" max="770" width="8.85546875" style="1"/>
    <col min="771" max="771" width="12.85546875" style="1" customWidth="1"/>
    <col min="772" max="772" width="13.5703125" style="1" customWidth="1"/>
    <col min="773" max="773" width="15.42578125" style="1" customWidth="1"/>
    <col min="774" max="1024" width="8.85546875" style="1"/>
    <col min="1025" max="1025" width="32" style="1" customWidth="1"/>
    <col min="1026" max="1026" width="8.85546875" style="1"/>
    <col min="1027" max="1027" width="12.85546875" style="1" customWidth="1"/>
    <col min="1028" max="1028" width="13.5703125" style="1" customWidth="1"/>
    <col min="1029" max="1029" width="15.42578125" style="1" customWidth="1"/>
    <col min="1030" max="1280" width="8.85546875" style="1"/>
    <col min="1281" max="1281" width="32" style="1" customWidth="1"/>
    <col min="1282" max="1282" width="8.85546875" style="1"/>
    <col min="1283" max="1283" width="12.85546875" style="1" customWidth="1"/>
    <col min="1284" max="1284" width="13.5703125" style="1" customWidth="1"/>
    <col min="1285" max="1285" width="15.42578125" style="1" customWidth="1"/>
    <col min="1286" max="1536" width="8.85546875" style="1"/>
    <col min="1537" max="1537" width="32" style="1" customWidth="1"/>
    <col min="1538" max="1538" width="8.85546875" style="1"/>
    <col min="1539" max="1539" width="12.85546875" style="1" customWidth="1"/>
    <col min="1540" max="1540" width="13.5703125" style="1" customWidth="1"/>
    <col min="1541" max="1541" width="15.42578125" style="1" customWidth="1"/>
    <col min="1542" max="1792" width="8.85546875" style="1"/>
    <col min="1793" max="1793" width="32" style="1" customWidth="1"/>
    <col min="1794" max="1794" width="8.85546875" style="1"/>
    <col min="1795" max="1795" width="12.85546875" style="1" customWidth="1"/>
    <col min="1796" max="1796" width="13.5703125" style="1" customWidth="1"/>
    <col min="1797" max="1797" width="15.42578125" style="1" customWidth="1"/>
    <col min="1798" max="2048" width="8.85546875" style="1"/>
    <col min="2049" max="2049" width="32" style="1" customWidth="1"/>
    <col min="2050" max="2050" width="8.85546875" style="1"/>
    <col min="2051" max="2051" width="12.85546875" style="1" customWidth="1"/>
    <col min="2052" max="2052" width="13.5703125" style="1" customWidth="1"/>
    <col min="2053" max="2053" width="15.42578125" style="1" customWidth="1"/>
    <col min="2054" max="2304" width="8.85546875" style="1"/>
    <col min="2305" max="2305" width="32" style="1" customWidth="1"/>
    <col min="2306" max="2306" width="8.85546875" style="1"/>
    <col min="2307" max="2307" width="12.85546875" style="1" customWidth="1"/>
    <col min="2308" max="2308" width="13.5703125" style="1" customWidth="1"/>
    <col min="2309" max="2309" width="15.42578125" style="1" customWidth="1"/>
    <col min="2310" max="2560" width="8.85546875" style="1"/>
    <col min="2561" max="2561" width="32" style="1" customWidth="1"/>
    <col min="2562" max="2562" width="8.85546875" style="1"/>
    <col min="2563" max="2563" width="12.85546875" style="1" customWidth="1"/>
    <col min="2564" max="2564" width="13.5703125" style="1" customWidth="1"/>
    <col min="2565" max="2565" width="15.42578125" style="1" customWidth="1"/>
    <col min="2566" max="2816" width="8.85546875" style="1"/>
    <col min="2817" max="2817" width="32" style="1" customWidth="1"/>
    <col min="2818" max="2818" width="8.85546875" style="1"/>
    <col min="2819" max="2819" width="12.85546875" style="1" customWidth="1"/>
    <col min="2820" max="2820" width="13.5703125" style="1" customWidth="1"/>
    <col min="2821" max="2821" width="15.42578125" style="1" customWidth="1"/>
    <col min="2822" max="3072" width="8.85546875" style="1"/>
    <col min="3073" max="3073" width="32" style="1" customWidth="1"/>
    <col min="3074" max="3074" width="8.85546875" style="1"/>
    <col min="3075" max="3075" width="12.85546875" style="1" customWidth="1"/>
    <col min="3076" max="3076" width="13.5703125" style="1" customWidth="1"/>
    <col min="3077" max="3077" width="15.42578125" style="1" customWidth="1"/>
    <col min="3078" max="3328" width="8.85546875" style="1"/>
    <col min="3329" max="3329" width="32" style="1" customWidth="1"/>
    <col min="3330" max="3330" width="8.85546875" style="1"/>
    <col min="3331" max="3331" width="12.85546875" style="1" customWidth="1"/>
    <col min="3332" max="3332" width="13.5703125" style="1" customWidth="1"/>
    <col min="3333" max="3333" width="15.42578125" style="1" customWidth="1"/>
    <col min="3334" max="3584" width="8.85546875" style="1"/>
    <col min="3585" max="3585" width="32" style="1" customWidth="1"/>
    <col min="3586" max="3586" width="8.85546875" style="1"/>
    <col min="3587" max="3587" width="12.85546875" style="1" customWidth="1"/>
    <col min="3588" max="3588" width="13.5703125" style="1" customWidth="1"/>
    <col min="3589" max="3589" width="15.42578125" style="1" customWidth="1"/>
    <col min="3590" max="3840" width="8.85546875" style="1"/>
    <col min="3841" max="3841" width="32" style="1" customWidth="1"/>
    <col min="3842" max="3842" width="8.85546875" style="1"/>
    <col min="3843" max="3843" width="12.85546875" style="1" customWidth="1"/>
    <col min="3844" max="3844" width="13.5703125" style="1" customWidth="1"/>
    <col min="3845" max="3845" width="15.42578125" style="1" customWidth="1"/>
    <col min="3846" max="4096" width="8.85546875" style="1"/>
    <col min="4097" max="4097" width="32" style="1" customWidth="1"/>
    <col min="4098" max="4098" width="8.85546875" style="1"/>
    <col min="4099" max="4099" width="12.85546875" style="1" customWidth="1"/>
    <col min="4100" max="4100" width="13.5703125" style="1" customWidth="1"/>
    <col min="4101" max="4101" width="15.42578125" style="1" customWidth="1"/>
    <col min="4102" max="4352" width="8.85546875" style="1"/>
    <col min="4353" max="4353" width="32" style="1" customWidth="1"/>
    <col min="4354" max="4354" width="8.85546875" style="1"/>
    <col min="4355" max="4355" width="12.85546875" style="1" customWidth="1"/>
    <col min="4356" max="4356" width="13.5703125" style="1" customWidth="1"/>
    <col min="4357" max="4357" width="15.42578125" style="1" customWidth="1"/>
    <col min="4358" max="4608" width="8.85546875" style="1"/>
    <col min="4609" max="4609" width="32" style="1" customWidth="1"/>
    <col min="4610" max="4610" width="8.85546875" style="1"/>
    <col min="4611" max="4611" width="12.85546875" style="1" customWidth="1"/>
    <col min="4612" max="4612" width="13.5703125" style="1" customWidth="1"/>
    <col min="4613" max="4613" width="15.42578125" style="1" customWidth="1"/>
    <col min="4614" max="4864" width="8.85546875" style="1"/>
    <col min="4865" max="4865" width="32" style="1" customWidth="1"/>
    <col min="4866" max="4866" width="8.85546875" style="1"/>
    <col min="4867" max="4867" width="12.85546875" style="1" customWidth="1"/>
    <col min="4868" max="4868" width="13.5703125" style="1" customWidth="1"/>
    <col min="4869" max="4869" width="15.42578125" style="1" customWidth="1"/>
    <col min="4870" max="5120" width="8.85546875" style="1"/>
    <col min="5121" max="5121" width="32" style="1" customWidth="1"/>
    <col min="5122" max="5122" width="8.85546875" style="1"/>
    <col min="5123" max="5123" width="12.85546875" style="1" customWidth="1"/>
    <col min="5124" max="5124" width="13.5703125" style="1" customWidth="1"/>
    <col min="5125" max="5125" width="15.42578125" style="1" customWidth="1"/>
    <col min="5126" max="5376" width="8.85546875" style="1"/>
    <col min="5377" max="5377" width="32" style="1" customWidth="1"/>
    <col min="5378" max="5378" width="8.85546875" style="1"/>
    <col min="5379" max="5379" width="12.85546875" style="1" customWidth="1"/>
    <col min="5380" max="5380" width="13.5703125" style="1" customWidth="1"/>
    <col min="5381" max="5381" width="15.42578125" style="1" customWidth="1"/>
    <col min="5382" max="5632" width="8.85546875" style="1"/>
    <col min="5633" max="5633" width="32" style="1" customWidth="1"/>
    <col min="5634" max="5634" width="8.85546875" style="1"/>
    <col min="5635" max="5635" width="12.85546875" style="1" customWidth="1"/>
    <col min="5636" max="5636" width="13.5703125" style="1" customWidth="1"/>
    <col min="5637" max="5637" width="15.42578125" style="1" customWidth="1"/>
    <col min="5638" max="5888" width="8.85546875" style="1"/>
    <col min="5889" max="5889" width="32" style="1" customWidth="1"/>
    <col min="5890" max="5890" width="8.85546875" style="1"/>
    <col min="5891" max="5891" width="12.85546875" style="1" customWidth="1"/>
    <col min="5892" max="5892" width="13.5703125" style="1" customWidth="1"/>
    <col min="5893" max="5893" width="15.42578125" style="1" customWidth="1"/>
    <col min="5894" max="6144" width="8.85546875" style="1"/>
    <col min="6145" max="6145" width="32" style="1" customWidth="1"/>
    <col min="6146" max="6146" width="8.85546875" style="1"/>
    <col min="6147" max="6147" width="12.85546875" style="1" customWidth="1"/>
    <col min="6148" max="6148" width="13.5703125" style="1" customWidth="1"/>
    <col min="6149" max="6149" width="15.42578125" style="1" customWidth="1"/>
    <col min="6150" max="6400" width="8.85546875" style="1"/>
    <col min="6401" max="6401" width="32" style="1" customWidth="1"/>
    <col min="6402" max="6402" width="8.85546875" style="1"/>
    <col min="6403" max="6403" width="12.85546875" style="1" customWidth="1"/>
    <col min="6404" max="6404" width="13.5703125" style="1" customWidth="1"/>
    <col min="6405" max="6405" width="15.42578125" style="1" customWidth="1"/>
    <col min="6406" max="6656" width="8.85546875" style="1"/>
    <col min="6657" max="6657" width="32" style="1" customWidth="1"/>
    <col min="6658" max="6658" width="8.85546875" style="1"/>
    <col min="6659" max="6659" width="12.85546875" style="1" customWidth="1"/>
    <col min="6660" max="6660" width="13.5703125" style="1" customWidth="1"/>
    <col min="6661" max="6661" width="15.42578125" style="1" customWidth="1"/>
    <col min="6662" max="6912" width="8.85546875" style="1"/>
    <col min="6913" max="6913" width="32" style="1" customWidth="1"/>
    <col min="6914" max="6914" width="8.85546875" style="1"/>
    <col min="6915" max="6915" width="12.85546875" style="1" customWidth="1"/>
    <col min="6916" max="6916" width="13.5703125" style="1" customWidth="1"/>
    <col min="6917" max="6917" width="15.42578125" style="1" customWidth="1"/>
    <col min="6918" max="7168" width="8.85546875" style="1"/>
    <col min="7169" max="7169" width="32" style="1" customWidth="1"/>
    <col min="7170" max="7170" width="8.85546875" style="1"/>
    <col min="7171" max="7171" width="12.85546875" style="1" customWidth="1"/>
    <col min="7172" max="7172" width="13.5703125" style="1" customWidth="1"/>
    <col min="7173" max="7173" width="15.42578125" style="1" customWidth="1"/>
    <col min="7174" max="7424" width="8.85546875" style="1"/>
    <col min="7425" max="7425" width="32" style="1" customWidth="1"/>
    <col min="7426" max="7426" width="8.85546875" style="1"/>
    <col min="7427" max="7427" width="12.85546875" style="1" customWidth="1"/>
    <col min="7428" max="7428" width="13.5703125" style="1" customWidth="1"/>
    <col min="7429" max="7429" width="15.42578125" style="1" customWidth="1"/>
    <col min="7430" max="7680" width="8.85546875" style="1"/>
    <col min="7681" max="7681" width="32" style="1" customWidth="1"/>
    <col min="7682" max="7682" width="8.85546875" style="1"/>
    <col min="7683" max="7683" width="12.85546875" style="1" customWidth="1"/>
    <col min="7684" max="7684" width="13.5703125" style="1" customWidth="1"/>
    <col min="7685" max="7685" width="15.42578125" style="1" customWidth="1"/>
    <col min="7686" max="7936" width="8.85546875" style="1"/>
    <col min="7937" max="7937" width="32" style="1" customWidth="1"/>
    <col min="7938" max="7938" width="8.85546875" style="1"/>
    <col min="7939" max="7939" width="12.85546875" style="1" customWidth="1"/>
    <col min="7940" max="7940" width="13.5703125" style="1" customWidth="1"/>
    <col min="7941" max="7941" width="15.42578125" style="1" customWidth="1"/>
    <col min="7942" max="8192" width="8.85546875" style="1"/>
    <col min="8193" max="8193" width="32" style="1" customWidth="1"/>
    <col min="8194" max="8194" width="8.85546875" style="1"/>
    <col min="8195" max="8195" width="12.85546875" style="1" customWidth="1"/>
    <col min="8196" max="8196" width="13.5703125" style="1" customWidth="1"/>
    <col min="8197" max="8197" width="15.42578125" style="1" customWidth="1"/>
    <col min="8198" max="8448" width="8.85546875" style="1"/>
    <col min="8449" max="8449" width="32" style="1" customWidth="1"/>
    <col min="8450" max="8450" width="8.85546875" style="1"/>
    <col min="8451" max="8451" width="12.85546875" style="1" customWidth="1"/>
    <col min="8452" max="8452" width="13.5703125" style="1" customWidth="1"/>
    <col min="8453" max="8453" width="15.42578125" style="1" customWidth="1"/>
    <col min="8454" max="8704" width="8.85546875" style="1"/>
    <col min="8705" max="8705" width="32" style="1" customWidth="1"/>
    <col min="8706" max="8706" width="8.85546875" style="1"/>
    <col min="8707" max="8707" width="12.85546875" style="1" customWidth="1"/>
    <col min="8708" max="8708" width="13.5703125" style="1" customWidth="1"/>
    <col min="8709" max="8709" width="15.42578125" style="1" customWidth="1"/>
    <col min="8710" max="8960" width="8.85546875" style="1"/>
    <col min="8961" max="8961" width="32" style="1" customWidth="1"/>
    <col min="8962" max="8962" width="8.85546875" style="1"/>
    <col min="8963" max="8963" width="12.85546875" style="1" customWidth="1"/>
    <col min="8964" max="8964" width="13.5703125" style="1" customWidth="1"/>
    <col min="8965" max="8965" width="15.42578125" style="1" customWidth="1"/>
    <col min="8966" max="9216" width="8.85546875" style="1"/>
    <col min="9217" max="9217" width="32" style="1" customWidth="1"/>
    <col min="9218" max="9218" width="8.85546875" style="1"/>
    <col min="9219" max="9219" width="12.85546875" style="1" customWidth="1"/>
    <col min="9220" max="9220" width="13.5703125" style="1" customWidth="1"/>
    <col min="9221" max="9221" width="15.42578125" style="1" customWidth="1"/>
    <col min="9222" max="9472" width="8.85546875" style="1"/>
    <col min="9473" max="9473" width="32" style="1" customWidth="1"/>
    <col min="9474" max="9474" width="8.85546875" style="1"/>
    <col min="9475" max="9475" width="12.85546875" style="1" customWidth="1"/>
    <col min="9476" max="9476" width="13.5703125" style="1" customWidth="1"/>
    <col min="9477" max="9477" width="15.42578125" style="1" customWidth="1"/>
    <col min="9478" max="9728" width="8.85546875" style="1"/>
    <col min="9729" max="9729" width="32" style="1" customWidth="1"/>
    <col min="9730" max="9730" width="8.85546875" style="1"/>
    <col min="9731" max="9731" width="12.85546875" style="1" customWidth="1"/>
    <col min="9732" max="9732" width="13.5703125" style="1" customWidth="1"/>
    <col min="9733" max="9733" width="15.42578125" style="1" customWidth="1"/>
    <col min="9734" max="9984" width="8.85546875" style="1"/>
    <col min="9985" max="9985" width="32" style="1" customWidth="1"/>
    <col min="9986" max="9986" width="8.85546875" style="1"/>
    <col min="9987" max="9987" width="12.85546875" style="1" customWidth="1"/>
    <col min="9988" max="9988" width="13.5703125" style="1" customWidth="1"/>
    <col min="9989" max="9989" width="15.42578125" style="1" customWidth="1"/>
    <col min="9990" max="10240" width="8.85546875" style="1"/>
    <col min="10241" max="10241" width="32" style="1" customWidth="1"/>
    <col min="10242" max="10242" width="8.85546875" style="1"/>
    <col min="10243" max="10243" width="12.85546875" style="1" customWidth="1"/>
    <col min="10244" max="10244" width="13.5703125" style="1" customWidth="1"/>
    <col min="10245" max="10245" width="15.42578125" style="1" customWidth="1"/>
    <col min="10246" max="10496" width="8.85546875" style="1"/>
    <col min="10497" max="10497" width="32" style="1" customWidth="1"/>
    <col min="10498" max="10498" width="8.85546875" style="1"/>
    <col min="10499" max="10499" width="12.85546875" style="1" customWidth="1"/>
    <col min="10500" max="10500" width="13.5703125" style="1" customWidth="1"/>
    <col min="10501" max="10501" width="15.42578125" style="1" customWidth="1"/>
    <col min="10502" max="10752" width="8.85546875" style="1"/>
    <col min="10753" max="10753" width="32" style="1" customWidth="1"/>
    <col min="10754" max="10754" width="8.85546875" style="1"/>
    <col min="10755" max="10755" width="12.85546875" style="1" customWidth="1"/>
    <col min="10756" max="10756" width="13.5703125" style="1" customWidth="1"/>
    <col min="10757" max="10757" width="15.42578125" style="1" customWidth="1"/>
    <col min="10758" max="11008" width="8.85546875" style="1"/>
    <col min="11009" max="11009" width="32" style="1" customWidth="1"/>
    <col min="11010" max="11010" width="8.85546875" style="1"/>
    <col min="11011" max="11011" width="12.85546875" style="1" customWidth="1"/>
    <col min="11012" max="11012" width="13.5703125" style="1" customWidth="1"/>
    <col min="11013" max="11013" width="15.42578125" style="1" customWidth="1"/>
    <col min="11014" max="11264" width="8.85546875" style="1"/>
    <col min="11265" max="11265" width="32" style="1" customWidth="1"/>
    <col min="11266" max="11266" width="8.85546875" style="1"/>
    <col min="11267" max="11267" width="12.85546875" style="1" customWidth="1"/>
    <col min="11268" max="11268" width="13.5703125" style="1" customWidth="1"/>
    <col min="11269" max="11269" width="15.42578125" style="1" customWidth="1"/>
    <col min="11270" max="11520" width="8.85546875" style="1"/>
    <col min="11521" max="11521" width="32" style="1" customWidth="1"/>
    <col min="11522" max="11522" width="8.85546875" style="1"/>
    <col min="11523" max="11523" width="12.85546875" style="1" customWidth="1"/>
    <col min="11524" max="11524" width="13.5703125" style="1" customWidth="1"/>
    <col min="11525" max="11525" width="15.42578125" style="1" customWidth="1"/>
    <col min="11526" max="11776" width="8.85546875" style="1"/>
    <col min="11777" max="11777" width="32" style="1" customWidth="1"/>
    <col min="11778" max="11778" width="8.85546875" style="1"/>
    <col min="11779" max="11779" width="12.85546875" style="1" customWidth="1"/>
    <col min="11780" max="11780" width="13.5703125" style="1" customWidth="1"/>
    <col min="11781" max="11781" width="15.42578125" style="1" customWidth="1"/>
    <col min="11782" max="12032" width="8.85546875" style="1"/>
    <col min="12033" max="12033" width="32" style="1" customWidth="1"/>
    <col min="12034" max="12034" width="8.85546875" style="1"/>
    <col min="12035" max="12035" width="12.85546875" style="1" customWidth="1"/>
    <col min="12036" max="12036" width="13.5703125" style="1" customWidth="1"/>
    <col min="12037" max="12037" width="15.42578125" style="1" customWidth="1"/>
    <col min="12038" max="12288" width="8.85546875" style="1"/>
    <col min="12289" max="12289" width="32" style="1" customWidth="1"/>
    <col min="12290" max="12290" width="8.85546875" style="1"/>
    <col min="12291" max="12291" width="12.85546875" style="1" customWidth="1"/>
    <col min="12292" max="12292" width="13.5703125" style="1" customWidth="1"/>
    <col min="12293" max="12293" width="15.42578125" style="1" customWidth="1"/>
    <col min="12294" max="12544" width="8.85546875" style="1"/>
    <col min="12545" max="12545" width="32" style="1" customWidth="1"/>
    <col min="12546" max="12546" width="8.85546875" style="1"/>
    <col min="12547" max="12547" width="12.85546875" style="1" customWidth="1"/>
    <col min="12548" max="12548" width="13.5703125" style="1" customWidth="1"/>
    <col min="12549" max="12549" width="15.42578125" style="1" customWidth="1"/>
    <col min="12550" max="12800" width="8.85546875" style="1"/>
    <col min="12801" max="12801" width="32" style="1" customWidth="1"/>
    <col min="12802" max="12802" width="8.85546875" style="1"/>
    <col min="12803" max="12803" width="12.85546875" style="1" customWidth="1"/>
    <col min="12804" max="12804" width="13.5703125" style="1" customWidth="1"/>
    <col min="12805" max="12805" width="15.42578125" style="1" customWidth="1"/>
    <col min="12806" max="13056" width="8.85546875" style="1"/>
    <col min="13057" max="13057" width="32" style="1" customWidth="1"/>
    <col min="13058" max="13058" width="8.85546875" style="1"/>
    <col min="13059" max="13059" width="12.85546875" style="1" customWidth="1"/>
    <col min="13060" max="13060" width="13.5703125" style="1" customWidth="1"/>
    <col min="13061" max="13061" width="15.42578125" style="1" customWidth="1"/>
    <col min="13062" max="13312" width="8.85546875" style="1"/>
    <col min="13313" max="13313" width="32" style="1" customWidth="1"/>
    <col min="13314" max="13314" width="8.85546875" style="1"/>
    <col min="13315" max="13315" width="12.85546875" style="1" customWidth="1"/>
    <col min="13316" max="13316" width="13.5703125" style="1" customWidth="1"/>
    <col min="13317" max="13317" width="15.42578125" style="1" customWidth="1"/>
    <col min="13318" max="13568" width="8.85546875" style="1"/>
    <col min="13569" max="13569" width="32" style="1" customWidth="1"/>
    <col min="13570" max="13570" width="8.85546875" style="1"/>
    <col min="13571" max="13571" width="12.85546875" style="1" customWidth="1"/>
    <col min="13572" max="13572" width="13.5703125" style="1" customWidth="1"/>
    <col min="13573" max="13573" width="15.42578125" style="1" customWidth="1"/>
    <col min="13574" max="13824" width="8.85546875" style="1"/>
    <col min="13825" max="13825" width="32" style="1" customWidth="1"/>
    <col min="13826" max="13826" width="8.85546875" style="1"/>
    <col min="13827" max="13827" width="12.85546875" style="1" customWidth="1"/>
    <col min="13828" max="13828" width="13.5703125" style="1" customWidth="1"/>
    <col min="13829" max="13829" width="15.42578125" style="1" customWidth="1"/>
    <col min="13830" max="14080" width="8.85546875" style="1"/>
    <col min="14081" max="14081" width="32" style="1" customWidth="1"/>
    <col min="14082" max="14082" width="8.85546875" style="1"/>
    <col min="14083" max="14083" width="12.85546875" style="1" customWidth="1"/>
    <col min="14084" max="14084" width="13.5703125" style="1" customWidth="1"/>
    <col min="14085" max="14085" width="15.42578125" style="1" customWidth="1"/>
    <col min="14086" max="14336" width="8.85546875" style="1"/>
    <col min="14337" max="14337" width="32" style="1" customWidth="1"/>
    <col min="14338" max="14338" width="8.85546875" style="1"/>
    <col min="14339" max="14339" width="12.85546875" style="1" customWidth="1"/>
    <col min="14340" max="14340" width="13.5703125" style="1" customWidth="1"/>
    <col min="14341" max="14341" width="15.42578125" style="1" customWidth="1"/>
    <col min="14342" max="14592" width="8.85546875" style="1"/>
    <col min="14593" max="14593" width="32" style="1" customWidth="1"/>
    <col min="14594" max="14594" width="8.85546875" style="1"/>
    <col min="14595" max="14595" width="12.85546875" style="1" customWidth="1"/>
    <col min="14596" max="14596" width="13.5703125" style="1" customWidth="1"/>
    <col min="14597" max="14597" width="15.42578125" style="1" customWidth="1"/>
    <col min="14598" max="14848" width="8.85546875" style="1"/>
    <col min="14849" max="14849" width="32" style="1" customWidth="1"/>
    <col min="14850" max="14850" width="8.85546875" style="1"/>
    <col min="14851" max="14851" width="12.85546875" style="1" customWidth="1"/>
    <col min="14852" max="14852" width="13.5703125" style="1" customWidth="1"/>
    <col min="14853" max="14853" width="15.42578125" style="1" customWidth="1"/>
    <col min="14854" max="15104" width="8.85546875" style="1"/>
    <col min="15105" max="15105" width="32" style="1" customWidth="1"/>
    <col min="15106" max="15106" width="8.85546875" style="1"/>
    <col min="15107" max="15107" width="12.85546875" style="1" customWidth="1"/>
    <col min="15108" max="15108" width="13.5703125" style="1" customWidth="1"/>
    <col min="15109" max="15109" width="15.42578125" style="1" customWidth="1"/>
    <col min="15110" max="15360" width="8.85546875" style="1"/>
    <col min="15361" max="15361" width="32" style="1" customWidth="1"/>
    <col min="15362" max="15362" width="8.85546875" style="1"/>
    <col min="15363" max="15363" width="12.85546875" style="1" customWidth="1"/>
    <col min="15364" max="15364" width="13.5703125" style="1" customWidth="1"/>
    <col min="15365" max="15365" width="15.42578125" style="1" customWidth="1"/>
    <col min="15366" max="15616" width="8.85546875" style="1"/>
    <col min="15617" max="15617" width="32" style="1" customWidth="1"/>
    <col min="15618" max="15618" width="8.85546875" style="1"/>
    <col min="15619" max="15619" width="12.85546875" style="1" customWidth="1"/>
    <col min="15620" max="15620" width="13.5703125" style="1" customWidth="1"/>
    <col min="15621" max="15621" width="15.42578125" style="1" customWidth="1"/>
    <col min="15622" max="15872" width="8.85546875" style="1"/>
    <col min="15873" max="15873" width="32" style="1" customWidth="1"/>
    <col min="15874" max="15874" width="8.85546875" style="1"/>
    <col min="15875" max="15875" width="12.85546875" style="1" customWidth="1"/>
    <col min="15876" max="15876" width="13.5703125" style="1" customWidth="1"/>
    <col min="15877" max="15877" width="15.42578125" style="1" customWidth="1"/>
    <col min="15878" max="16128" width="8.85546875" style="1"/>
    <col min="16129" max="16129" width="32" style="1" customWidth="1"/>
    <col min="16130" max="16130" width="8.85546875" style="1"/>
    <col min="16131" max="16131" width="12.85546875" style="1" customWidth="1"/>
    <col min="16132" max="16132" width="13.5703125" style="1" customWidth="1"/>
    <col min="16133" max="16133" width="15.42578125" style="1" customWidth="1"/>
    <col min="16134" max="16384" width="8.85546875" style="1"/>
  </cols>
  <sheetData>
    <row r="1" spans="2:20">
      <c r="B1" s="146" t="s">
        <v>353</v>
      </c>
      <c r="C1" s="147"/>
      <c r="D1" s="148"/>
      <c r="E1" s="148"/>
      <c r="F1" s="149"/>
      <c r="H1" s="105"/>
      <c r="I1" s="27"/>
      <c r="J1" s="27"/>
      <c r="K1" s="27"/>
    </row>
    <row r="2" spans="2:20" ht="15.75" thickBot="1">
      <c r="B2" s="150" t="s">
        <v>354</v>
      </c>
      <c r="C2" s="25"/>
      <c r="D2" s="25"/>
      <c r="E2" s="25"/>
      <c r="F2" s="151"/>
      <c r="H2" s="152"/>
      <c r="I2" s="27"/>
      <c r="J2" s="27"/>
      <c r="K2" s="27"/>
    </row>
    <row r="3" spans="2:20" ht="15.75" thickBot="1">
      <c r="B3" s="150"/>
      <c r="C3" s="25"/>
      <c r="D3" s="25"/>
      <c r="E3" s="25"/>
      <c r="F3" s="151"/>
      <c r="H3" s="1201" t="s">
        <v>353</v>
      </c>
      <c r="I3" s="1202"/>
      <c r="J3" s="1202"/>
      <c r="K3" s="1203"/>
      <c r="L3" s="27"/>
      <c r="M3" s="27"/>
      <c r="N3" s="27"/>
      <c r="O3" s="27"/>
      <c r="P3" s="27"/>
      <c r="Q3" s="27"/>
      <c r="R3" s="27"/>
      <c r="S3" s="27"/>
      <c r="T3" s="27"/>
    </row>
    <row r="4" spans="2:20" ht="15.75" thickBot="1">
      <c r="B4" s="28" t="s">
        <v>355</v>
      </c>
      <c r="C4" s="29"/>
      <c r="D4" s="29"/>
      <c r="E4" s="29"/>
      <c r="F4" s="30"/>
      <c r="H4" s="1191" t="s">
        <v>355</v>
      </c>
      <c r="I4" s="1192"/>
      <c r="J4" s="1192"/>
      <c r="K4" s="153">
        <v>11</v>
      </c>
      <c r="L4" s="27"/>
      <c r="M4" s="27"/>
      <c r="N4" s="1159" t="s">
        <v>356</v>
      </c>
      <c r="O4" s="1160"/>
      <c r="P4" s="1160"/>
      <c r="Q4" s="1160"/>
      <c r="R4" s="1160"/>
      <c r="S4" s="1160"/>
      <c r="T4" s="1161"/>
    </row>
    <row r="5" spans="2:20" ht="15.75" thickBot="1">
      <c r="B5" s="35"/>
      <c r="C5" s="36"/>
      <c r="D5" s="36"/>
      <c r="E5" s="36"/>
      <c r="F5" s="37"/>
      <c r="H5" s="109"/>
      <c r="I5" s="27"/>
      <c r="J5" s="27"/>
      <c r="K5" s="73"/>
      <c r="L5" s="27"/>
      <c r="M5" s="27"/>
      <c r="N5" s="1185" t="s">
        <v>357</v>
      </c>
      <c r="O5" s="1186"/>
      <c r="P5" s="1186"/>
      <c r="Q5" s="1186"/>
      <c r="R5" s="1186"/>
      <c r="S5" s="1186"/>
      <c r="T5" s="1187"/>
    </row>
    <row r="6" spans="2:20">
      <c r="B6" s="35"/>
      <c r="C6" s="36"/>
      <c r="D6" s="39" t="s">
        <v>299</v>
      </c>
      <c r="E6" s="39" t="s">
        <v>300</v>
      </c>
      <c r="F6" s="40" t="s">
        <v>301</v>
      </c>
      <c r="H6" s="110"/>
      <c r="I6" s="105" t="s">
        <v>299</v>
      </c>
      <c r="J6" s="105" t="s">
        <v>300</v>
      </c>
      <c r="K6" s="154" t="s">
        <v>301</v>
      </c>
      <c r="L6" s="27"/>
      <c r="M6" s="27"/>
      <c r="N6" s="110" t="str">
        <f>B7</f>
        <v xml:space="preserve">Management </v>
      </c>
      <c r="O6" s="113" t="e">
        <f>#REF!</f>
        <v>#REF!</v>
      </c>
      <c r="P6" s="204" t="s">
        <v>358</v>
      </c>
      <c r="Q6" s="27"/>
      <c r="R6" s="27"/>
      <c r="S6" s="27"/>
      <c r="T6" s="73"/>
    </row>
    <row r="7" spans="2:20">
      <c r="B7" s="35" t="s">
        <v>359</v>
      </c>
      <c r="C7" s="36"/>
      <c r="D7" s="155">
        <v>52564</v>
      </c>
      <c r="E7" s="156">
        <v>0.01</v>
      </c>
      <c r="F7" s="47">
        <v>525.64</v>
      </c>
      <c r="H7" s="110" t="str">
        <f>N6</f>
        <v xml:space="preserve">Management </v>
      </c>
      <c r="I7" s="114" t="e">
        <f>O6</f>
        <v>#REF!</v>
      </c>
      <c r="J7" s="157">
        <v>0.01</v>
      </c>
      <c r="K7" s="115" t="e">
        <f>I7*J7</f>
        <v>#REF!</v>
      </c>
      <c r="L7" s="27"/>
      <c r="M7" s="27"/>
      <c r="N7" s="110" t="s">
        <v>360</v>
      </c>
      <c r="O7" s="113" t="e">
        <f>#REF!</f>
        <v>#REF!</v>
      </c>
      <c r="P7" s="70" t="s">
        <v>361</v>
      </c>
      <c r="Q7" s="27"/>
      <c r="R7" s="27"/>
      <c r="S7" s="27"/>
      <c r="T7" s="73"/>
    </row>
    <row r="8" spans="2:20" ht="15.75" thickBot="1">
      <c r="B8" s="35" t="s">
        <v>362</v>
      </c>
      <c r="C8" s="36"/>
      <c r="D8" s="158">
        <v>47000</v>
      </c>
      <c r="E8" s="156">
        <v>0.15</v>
      </c>
      <c r="F8" s="159">
        <v>7050</v>
      </c>
      <c r="H8" s="110" t="s">
        <v>360</v>
      </c>
      <c r="I8" s="114" t="e">
        <f>O7</f>
        <v>#REF!</v>
      </c>
      <c r="J8" s="157">
        <v>7.0000000000000007E-2</v>
      </c>
      <c r="K8" s="115" t="e">
        <f>I8*J8</f>
        <v>#REF!</v>
      </c>
      <c r="L8" s="27"/>
      <c r="M8" s="27"/>
      <c r="N8" s="110" t="str">
        <f>B8</f>
        <v>Direct care</v>
      </c>
      <c r="O8" s="113" t="e">
        <f>#REF!</f>
        <v>#REF!</v>
      </c>
      <c r="P8" s="206" t="s">
        <v>363</v>
      </c>
      <c r="Q8" s="27"/>
      <c r="R8" s="27"/>
      <c r="S8" s="27"/>
      <c r="T8" s="73"/>
    </row>
    <row r="9" spans="2:20" ht="15.75" thickBot="1">
      <c r="B9" s="53" t="s">
        <v>364</v>
      </c>
      <c r="C9" s="54"/>
      <c r="D9" s="54"/>
      <c r="E9" s="55">
        <v>0.2</v>
      </c>
      <c r="F9" s="75">
        <v>7575.64</v>
      </c>
      <c r="H9" s="110" t="str">
        <f>N8</f>
        <v>Direct care</v>
      </c>
      <c r="I9" s="114" t="e">
        <f>O8</f>
        <v>#REF!</v>
      </c>
      <c r="J9" s="157">
        <v>0.08</v>
      </c>
      <c r="K9" s="115" t="e">
        <f>I9*J9</f>
        <v>#REF!</v>
      </c>
      <c r="L9" s="27"/>
      <c r="M9" s="27"/>
      <c r="N9" s="1185" t="s">
        <v>325</v>
      </c>
      <c r="O9" s="1186"/>
      <c r="P9" s="1186"/>
      <c r="Q9" s="1186"/>
      <c r="R9" s="1186"/>
      <c r="S9" s="1186"/>
      <c r="T9" s="1187"/>
    </row>
    <row r="10" spans="2:20">
      <c r="B10" s="35"/>
      <c r="C10" s="36"/>
      <c r="D10" s="36"/>
      <c r="E10" s="36"/>
      <c r="F10" s="37"/>
      <c r="H10" s="116" t="s">
        <v>364</v>
      </c>
      <c r="I10" s="85"/>
      <c r="J10" s="117">
        <f>SUM(J7:J9)</f>
        <v>0.16</v>
      </c>
      <c r="K10" s="160" t="e">
        <f>SUM(K7:K9)</f>
        <v>#REF!</v>
      </c>
      <c r="L10" s="27"/>
      <c r="M10" s="27"/>
      <c r="N10" s="110" t="s">
        <v>327</v>
      </c>
      <c r="O10" s="119">
        <v>0.24199999999999999</v>
      </c>
      <c r="P10" s="204" t="s">
        <v>365</v>
      </c>
      <c r="Q10" s="27"/>
      <c r="R10" s="27"/>
      <c r="S10" s="27"/>
      <c r="T10" s="73"/>
    </row>
    <row r="11" spans="2:20">
      <c r="B11" s="35" t="s">
        <v>328</v>
      </c>
      <c r="C11" s="36"/>
      <c r="D11" s="36"/>
      <c r="E11" s="36"/>
      <c r="F11" s="37"/>
      <c r="H11" s="110"/>
      <c r="I11" s="27"/>
      <c r="J11" s="27"/>
      <c r="K11" s="73"/>
      <c r="L11" s="27"/>
      <c r="M11" s="27"/>
      <c r="N11" s="110" t="s">
        <v>178</v>
      </c>
      <c r="O11" s="119">
        <v>0.12</v>
      </c>
      <c r="P11" s="205" t="s">
        <v>366</v>
      </c>
      <c r="Q11" s="27"/>
      <c r="R11" s="27"/>
      <c r="S11" s="27"/>
      <c r="T11" s="73"/>
    </row>
    <row r="12" spans="2:20">
      <c r="B12" s="35" t="s">
        <v>367</v>
      </c>
      <c r="C12" s="36"/>
      <c r="D12" s="60">
        <v>0.21590826871491237</v>
      </c>
      <c r="E12" s="60"/>
      <c r="F12" s="47">
        <v>1635.6433168074389</v>
      </c>
      <c r="H12" s="110" t="s">
        <v>328</v>
      </c>
      <c r="I12" s="27"/>
      <c r="J12" s="27"/>
      <c r="K12" s="73"/>
      <c r="L12" s="27"/>
      <c r="M12" s="27"/>
      <c r="N12" s="110"/>
      <c r="O12" s="119"/>
      <c r="P12" s="70"/>
      <c r="Q12" s="27"/>
      <c r="R12" s="27"/>
      <c r="S12" s="27"/>
      <c r="T12" s="73"/>
    </row>
    <row r="13" spans="2:20">
      <c r="B13" s="53" t="s">
        <v>331</v>
      </c>
      <c r="C13" s="54"/>
      <c r="D13" s="54"/>
      <c r="E13" s="54"/>
      <c r="F13" s="75">
        <v>9211.2833168074394</v>
      </c>
      <c r="H13" s="110" t="s">
        <v>367</v>
      </c>
      <c r="I13" s="121">
        <f>O10</f>
        <v>0.24199999999999999</v>
      </c>
      <c r="J13" s="122"/>
      <c r="K13" s="115" t="e">
        <f>I13*K10</f>
        <v>#REF!</v>
      </c>
      <c r="L13" s="27"/>
      <c r="M13" s="27"/>
      <c r="N13" s="110" t="s">
        <v>368</v>
      </c>
      <c r="O13" s="113">
        <f ca="1">'FY20 UFR Data'!E5</f>
        <v>5963.9694954316819</v>
      </c>
      <c r="P13" s="70" t="s">
        <v>330</v>
      </c>
      <c r="Q13" s="27"/>
      <c r="R13" s="27"/>
      <c r="S13" s="27"/>
      <c r="T13" s="73"/>
    </row>
    <row r="14" spans="2:20">
      <c r="B14" s="35"/>
      <c r="C14" s="36"/>
      <c r="D14" s="36"/>
      <c r="E14" s="36"/>
      <c r="F14" s="37"/>
      <c r="H14" s="116" t="s">
        <v>331</v>
      </c>
      <c r="I14" s="85"/>
      <c r="J14" s="85"/>
      <c r="K14" s="160" t="e">
        <f>SUM(K10:K13)</f>
        <v>#REF!</v>
      </c>
      <c r="L14" s="27"/>
      <c r="M14" s="27"/>
      <c r="N14" s="110" t="s">
        <v>369</v>
      </c>
      <c r="O14" s="113">
        <f ca="1">'FY20 UFR Data'!AK5</f>
        <v>1347.3502436316674</v>
      </c>
      <c r="P14" s="70" t="s">
        <v>330</v>
      </c>
      <c r="Q14" s="27"/>
      <c r="R14" s="27"/>
      <c r="S14" s="27"/>
      <c r="T14" s="73"/>
    </row>
    <row r="15" spans="2:20" ht="15.75" thickBot="1">
      <c r="B15" s="35" t="s">
        <v>370</v>
      </c>
      <c r="C15" s="36"/>
      <c r="D15" s="36" t="s">
        <v>507</v>
      </c>
      <c r="E15" s="36"/>
      <c r="F15" s="78">
        <v>1289.5087719298247</v>
      </c>
      <c r="H15" s="110"/>
      <c r="I15" s="27"/>
      <c r="J15" s="27"/>
      <c r="K15" s="73"/>
      <c r="L15" s="27"/>
      <c r="M15" s="27"/>
      <c r="N15" s="110"/>
      <c r="O15" s="161"/>
      <c r="P15" s="206"/>
      <c r="Q15" s="27"/>
      <c r="R15" s="27"/>
      <c r="S15" s="27"/>
      <c r="T15" s="73"/>
    </row>
    <row r="16" spans="2:20" ht="15.75" thickBot="1">
      <c r="B16" s="35"/>
      <c r="C16" s="36"/>
      <c r="D16" s="68">
        <v>99.192982456140356</v>
      </c>
      <c r="E16" s="36"/>
      <c r="F16" s="37"/>
      <c r="H16" s="120" t="s">
        <v>371</v>
      </c>
      <c r="I16" s="162">
        <f ca="1">O13</f>
        <v>5963.9694954316819</v>
      </c>
      <c r="J16" s="27"/>
      <c r="K16" s="127">
        <f ca="1">I16*J10</f>
        <v>954.23511926906917</v>
      </c>
      <c r="L16" s="114">
        <f ca="1">SUM(K16:K17)</f>
        <v>2301.5853629007365</v>
      </c>
      <c r="M16" s="27"/>
      <c r="N16" s="163" t="s">
        <v>372</v>
      </c>
      <c r="O16" s="164" t="e">
        <f>#REF!</f>
        <v>#REF!</v>
      </c>
      <c r="P16" s="165" t="s">
        <v>373</v>
      </c>
      <c r="Q16" s="165"/>
      <c r="R16" s="165"/>
      <c r="S16" s="165"/>
      <c r="T16" s="166"/>
    </row>
    <row r="17" spans="2:20">
      <c r="B17" s="35" t="s">
        <v>374</v>
      </c>
      <c r="C17" s="36"/>
      <c r="D17" s="36"/>
      <c r="E17" s="36"/>
      <c r="F17" s="47">
        <v>880</v>
      </c>
      <c r="H17" s="110" t="s">
        <v>375</v>
      </c>
      <c r="I17" s="162">
        <f ca="1">O14</f>
        <v>1347.3502436316674</v>
      </c>
      <c r="J17" s="27"/>
      <c r="K17" s="127">
        <f ca="1">I17</f>
        <v>1347.3502436316674</v>
      </c>
      <c r="L17" s="27"/>
      <c r="M17" s="27"/>
      <c r="N17" s="27"/>
      <c r="O17" s="27"/>
      <c r="P17" s="27"/>
      <c r="Q17" s="27"/>
      <c r="R17" s="27"/>
      <c r="S17" s="27"/>
      <c r="T17" s="27"/>
    </row>
    <row r="18" spans="2:20">
      <c r="B18" s="35"/>
      <c r="C18" s="36"/>
      <c r="D18" s="36"/>
      <c r="E18" s="36"/>
      <c r="F18" s="37"/>
      <c r="H18" s="110"/>
      <c r="I18" s="27"/>
      <c r="J18" s="27"/>
      <c r="K18" s="73"/>
      <c r="L18" s="27"/>
      <c r="M18" s="27"/>
      <c r="N18" s="27"/>
      <c r="O18" s="27"/>
      <c r="P18" s="27"/>
      <c r="Q18" s="27"/>
      <c r="R18" s="27"/>
      <c r="S18" s="27"/>
      <c r="T18" s="27"/>
    </row>
    <row r="19" spans="2:20">
      <c r="B19" s="53" t="s">
        <v>376</v>
      </c>
      <c r="C19" s="54"/>
      <c r="D19" s="54"/>
      <c r="E19" s="54"/>
      <c r="F19" s="75">
        <v>11630.792088737264</v>
      </c>
      <c r="H19" s="116" t="s">
        <v>376</v>
      </c>
      <c r="I19" s="85"/>
      <c r="J19" s="85"/>
      <c r="K19" s="160" t="e">
        <f>SUM(K14:K18)</f>
        <v>#REF!</v>
      </c>
      <c r="L19" s="27"/>
      <c r="M19" s="27"/>
      <c r="N19" s="27"/>
      <c r="O19" s="27"/>
      <c r="P19" s="27"/>
      <c r="Q19" s="27"/>
      <c r="R19" s="27"/>
      <c r="S19" s="27"/>
      <c r="T19" s="27"/>
    </row>
    <row r="20" spans="2:20">
      <c r="B20" s="35" t="s">
        <v>377</v>
      </c>
      <c r="C20" s="36"/>
      <c r="D20" s="60">
        <v>0.11306220647863946</v>
      </c>
      <c r="E20" s="36"/>
      <c r="F20" s="78">
        <v>1315.0030166469389</v>
      </c>
      <c r="H20" s="110" t="s">
        <v>377</v>
      </c>
      <c r="I20" s="121">
        <f>O11</f>
        <v>0.12</v>
      </c>
      <c r="J20" s="27"/>
      <c r="K20" s="127" t="e">
        <f>K19*I20</f>
        <v>#REF!</v>
      </c>
      <c r="L20" s="27"/>
      <c r="M20" s="27"/>
      <c r="N20" s="27"/>
      <c r="O20" s="121"/>
      <c r="P20" s="27"/>
      <c r="Q20" s="27"/>
      <c r="R20" s="27"/>
      <c r="S20" s="27"/>
      <c r="T20" s="27"/>
    </row>
    <row r="21" spans="2:20">
      <c r="B21" s="35" t="s">
        <v>378</v>
      </c>
      <c r="C21" s="36"/>
      <c r="D21" s="36"/>
      <c r="E21" s="133">
        <v>4.4599999999999973E-2</v>
      </c>
      <c r="F21" s="78">
        <v>13523.696281184326</v>
      </c>
      <c r="H21" s="110" t="s">
        <v>379</v>
      </c>
      <c r="I21" s="27"/>
      <c r="J21" s="27"/>
      <c r="K21" s="127" t="e">
        <f>K20+K19</f>
        <v>#REF!</v>
      </c>
      <c r="L21" s="27"/>
      <c r="M21" s="27"/>
      <c r="N21" s="27"/>
      <c r="O21" s="121"/>
      <c r="P21" s="27"/>
      <c r="Q21" s="27"/>
      <c r="R21" s="27"/>
      <c r="S21" s="27"/>
      <c r="T21" s="27"/>
    </row>
    <row r="22" spans="2:20">
      <c r="B22" s="53" t="s">
        <v>380</v>
      </c>
      <c r="C22" s="86"/>
      <c r="D22" s="136">
        <f>F22/F21</f>
        <v>7.6922756794483294E-2</v>
      </c>
      <c r="E22" s="86"/>
      <c r="F22" s="167">
        <v>1040.28</v>
      </c>
      <c r="H22" s="168" t="s">
        <v>380</v>
      </c>
      <c r="I22" s="169"/>
      <c r="J22" s="170"/>
      <c r="K22" s="171" t="e">
        <f>K21/K4</f>
        <v>#REF!</v>
      </c>
      <c r="L22" s="27"/>
      <c r="M22" s="27"/>
      <c r="N22" s="27"/>
      <c r="O22" s="27"/>
      <c r="P22" s="27"/>
      <c r="Q22" s="27"/>
      <c r="R22" s="27"/>
      <c r="S22" s="27"/>
      <c r="T22" s="27"/>
    </row>
    <row r="23" spans="2:20">
      <c r="B23" s="172" t="s">
        <v>381</v>
      </c>
      <c r="C23" s="39"/>
      <c r="D23" s="39"/>
      <c r="E23" s="173">
        <v>2.9824052590873982E-2</v>
      </c>
      <c r="F23" s="174">
        <f>F22*(E23+1)</f>
        <v>1071.3053654292344</v>
      </c>
      <c r="H23" s="208" t="s">
        <v>382</v>
      </c>
      <c r="I23" s="209" t="e">
        <f>O16</f>
        <v>#REF!</v>
      </c>
      <c r="J23" s="209"/>
      <c r="K23" s="210" t="e">
        <f>K22*(I23+1)</f>
        <v>#REF!</v>
      </c>
      <c r="L23" s="212" t="e">
        <f>(K23-K24)/K24</f>
        <v>#REF!</v>
      </c>
      <c r="M23" s="134"/>
      <c r="N23" s="27"/>
      <c r="O23" s="27"/>
      <c r="P23" s="27"/>
      <c r="Q23" s="27"/>
      <c r="R23" s="27"/>
      <c r="S23" s="27"/>
      <c r="T23" s="27"/>
    </row>
    <row r="24" spans="2:20" ht="15.75" thickBot="1">
      <c r="B24" s="175" t="s">
        <v>383</v>
      </c>
      <c r="C24" s="176"/>
      <c r="D24" s="176"/>
      <c r="E24" s="177">
        <v>2.7235921972764018E-2</v>
      </c>
      <c r="F24" s="178">
        <f>F23*(E24+1)</f>
        <v>1100.4833547710684</v>
      </c>
      <c r="H24" s="27"/>
      <c r="I24" s="27"/>
      <c r="J24" s="27" t="s">
        <v>384</v>
      </c>
      <c r="K24" s="207">
        <v>1149.97</v>
      </c>
      <c r="L24" s="134"/>
      <c r="M24" s="27"/>
      <c r="N24" s="27"/>
      <c r="O24" s="27"/>
      <c r="P24" s="27"/>
      <c r="Q24" s="27"/>
      <c r="R24" s="27"/>
      <c r="S24" s="27"/>
      <c r="T24" s="27"/>
    </row>
    <row r="25" spans="2:20">
      <c r="H25" s="27"/>
      <c r="I25" s="27"/>
      <c r="J25" s="27" t="s">
        <v>385</v>
      </c>
      <c r="K25" s="207">
        <v>1248</v>
      </c>
      <c r="L25" s="134">
        <f>(K25-K24)/K24</f>
        <v>8.5245702061792897E-2</v>
      </c>
      <c r="M25" s="27"/>
      <c r="N25" s="27"/>
      <c r="O25" s="27"/>
      <c r="P25" s="27"/>
      <c r="Q25" s="27"/>
      <c r="R25" s="27"/>
      <c r="S25" s="27"/>
      <c r="T25" s="27"/>
    </row>
    <row r="26" spans="2:20">
      <c r="H26" s="27"/>
      <c r="I26" s="27"/>
      <c r="J26" s="27"/>
      <c r="K26" s="27"/>
      <c r="L26" s="27"/>
      <c r="M26" s="27"/>
      <c r="N26" s="27"/>
      <c r="O26" s="27"/>
      <c r="P26" s="27"/>
      <c r="Q26" s="27"/>
      <c r="R26" s="27"/>
      <c r="S26" s="27"/>
      <c r="T26" s="27"/>
    </row>
    <row r="27" spans="2:20">
      <c r="H27" s="27"/>
      <c r="I27" s="27"/>
      <c r="J27" s="27"/>
      <c r="K27" s="27"/>
      <c r="L27" s="27"/>
      <c r="M27" s="27"/>
      <c r="N27" s="27"/>
      <c r="O27" s="27"/>
      <c r="P27" s="27"/>
      <c r="Q27" s="27"/>
      <c r="R27" s="27"/>
      <c r="S27" s="27"/>
      <c r="T27" s="27"/>
    </row>
    <row r="28" spans="2:20">
      <c r="O28" s="27"/>
      <c r="P28" s="27"/>
      <c r="Q28" s="27"/>
      <c r="R28" s="27"/>
      <c r="S28" s="27"/>
      <c r="T28" s="27"/>
    </row>
    <row r="29" spans="2:20">
      <c r="O29" s="27"/>
      <c r="P29" s="27"/>
      <c r="Q29" s="27"/>
      <c r="R29" s="27"/>
      <c r="S29" s="27"/>
      <c r="T29" s="27"/>
    </row>
    <row r="30" spans="2:20">
      <c r="B30" s="41"/>
      <c r="C30" s="41"/>
      <c r="E30" s="95"/>
      <c r="F30" s="95"/>
      <c r="O30" s="27"/>
      <c r="P30" s="27"/>
      <c r="Q30" s="27"/>
      <c r="R30" s="27"/>
      <c r="S30" s="27"/>
      <c r="T30" s="27"/>
    </row>
    <row r="31" spans="2:20">
      <c r="B31" s="31"/>
      <c r="C31" s="79"/>
      <c r="E31" s="62"/>
      <c r="F31" s="62"/>
      <c r="O31" s="27"/>
      <c r="P31" s="27"/>
      <c r="Q31" s="27"/>
      <c r="R31" s="27"/>
      <c r="S31" s="27"/>
      <c r="T31" s="27"/>
    </row>
    <row r="32" spans="2:20">
      <c r="B32" s="31"/>
      <c r="C32" s="79"/>
      <c r="E32" s="62"/>
      <c r="F32" s="62"/>
      <c r="O32" s="27"/>
      <c r="P32" s="27"/>
      <c r="Q32" s="27"/>
      <c r="R32" s="27"/>
      <c r="S32" s="27"/>
      <c r="T32" s="27"/>
    </row>
    <row r="33" spans="2:20">
      <c r="B33" s="31"/>
      <c r="C33" s="79"/>
      <c r="E33" s="62"/>
      <c r="F33" s="62"/>
      <c r="O33" s="27"/>
      <c r="P33" s="27"/>
      <c r="Q33" s="27"/>
      <c r="R33" s="27"/>
      <c r="S33" s="27"/>
      <c r="T33" s="27"/>
    </row>
    <row r="34" spans="2:20">
      <c r="B34" s="31"/>
      <c r="C34" s="48"/>
      <c r="E34" s="62"/>
      <c r="F34" s="62"/>
      <c r="O34" s="27"/>
      <c r="P34" s="27"/>
      <c r="Q34" s="27"/>
      <c r="R34" s="27"/>
      <c r="S34" s="27"/>
      <c r="T34" s="27"/>
    </row>
    <row r="35" spans="2:20">
      <c r="B35" s="31"/>
      <c r="C35" s="48"/>
      <c r="E35" s="62"/>
      <c r="F35" s="62"/>
      <c r="O35" s="27"/>
      <c r="P35" s="27"/>
      <c r="Q35" s="27"/>
      <c r="R35" s="27"/>
      <c r="S35" s="27"/>
      <c r="T35" s="27"/>
    </row>
    <row r="36" spans="2:20">
      <c r="E36" s="62"/>
      <c r="F36" s="62"/>
      <c r="O36" s="27"/>
      <c r="P36" s="27"/>
      <c r="Q36" s="27"/>
      <c r="R36" s="27"/>
      <c r="S36" s="27"/>
      <c r="T36" s="27"/>
    </row>
    <row r="37" spans="2:20">
      <c r="H37" s="27"/>
      <c r="I37" s="27"/>
      <c r="J37" s="27"/>
      <c r="K37" s="27"/>
      <c r="L37" s="27"/>
      <c r="M37" s="27"/>
      <c r="N37" s="27"/>
      <c r="O37" s="27"/>
      <c r="P37" s="27"/>
      <c r="Q37" s="27"/>
      <c r="R37" s="27"/>
      <c r="S37" s="27"/>
      <c r="T37" s="27"/>
    </row>
  </sheetData>
  <mergeCells count="5">
    <mergeCell ref="H3:K3"/>
    <mergeCell ref="H4:J4"/>
    <mergeCell ref="N4:T4"/>
    <mergeCell ref="N5:T5"/>
    <mergeCell ref="N9:T9"/>
  </mergeCells>
  <pageMargins left="0.7" right="0.7" top="0.75" bottom="0.75" header="0.3" footer="0.3"/>
  <pageSetup scale="75" orientation="landscape"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pageSetUpPr fitToPage="1"/>
  </sheetPr>
  <dimension ref="B1:W34"/>
  <sheetViews>
    <sheetView zoomScale="140" zoomScaleNormal="140" workbookViewId="0">
      <selection activeCell="O27" sqref="O27"/>
    </sheetView>
  </sheetViews>
  <sheetFormatPr defaultRowHeight="15"/>
  <cols>
    <col min="1" max="1" width="8.85546875" style="1"/>
    <col min="2" max="2" width="30.42578125" style="1" hidden="1" customWidth="1"/>
    <col min="3" max="5" width="8.85546875" style="1" hidden="1" customWidth="1"/>
    <col min="6" max="6" width="15.5703125" style="1" hidden="1" customWidth="1"/>
    <col min="7" max="7" width="4" style="1" customWidth="1"/>
    <col min="8" max="8" width="33.42578125" style="1" bestFit="1" customWidth="1"/>
    <col min="9" max="9" width="12.140625" style="1" customWidth="1"/>
    <col min="10" max="10" width="8.85546875" style="1"/>
    <col min="11" max="11" width="16.5703125" style="1" customWidth="1"/>
    <col min="12" max="12" width="8.85546875" style="1" customWidth="1"/>
    <col min="13" max="14" width="0" style="1" hidden="1" customWidth="1"/>
    <col min="15" max="15" width="26.140625" style="1" customWidth="1"/>
    <col min="16" max="16" width="15.5703125" style="1" bestFit="1" customWidth="1"/>
    <col min="17" max="256" width="8.85546875" style="1"/>
    <col min="257" max="257" width="30.42578125" style="1" customWidth="1"/>
    <col min="258" max="260" width="8.85546875" style="1"/>
    <col min="261" max="261" width="15.5703125" style="1" customWidth="1"/>
    <col min="262" max="512" width="8.85546875" style="1"/>
    <col min="513" max="513" width="30.42578125" style="1" customWidth="1"/>
    <col min="514" max="516" width="8.85546875" style="1"/>
    <col min="517" max="517" width="15.5703125" style="1" customWidth="1"/>
    <col min="518" max="768" width="8.85546875" style="1"/>
    <col min="769" max="769" width="30.42578125" style="1" customWidth="1"/>
    <col min="770" max="772" width="8.85546875" style="1"/>
    <col min="773" max="773" width="15.5703125" style="1" customWidth="1"/>
    <col min="774" max="1024" width="8.85546875" style="1"/>
    <col min="1025" max="1025" width="30.42578125" style="1" customWidth="1"/>
    <col min="1026" max="1028" width="8.85546875" style="1"/>
    <col min="1029" max="1029" width="15.5703125" style="1" customWidth="1"/>
    <col min="1030" max="1280" width="8.85546875" style="1"/>
    <col min="1281" max="1281" width="30.42578125" style="1" customWidth="1"/>
    <col min="1282" max="1284" width="8.85546875" style="1"/>
    <col min="1285" max="1285" width="15.5703125" style="1" customWidth="1"/>
    <col min="1286" max="1536" width="8.85546875" style="1"/>
    <col min="1537" max="1537" width="30.42578125" style="1" customWidth="1"/>
    <col min="1538" max="1540" width="8.85546875" style="1"/>
    <col min="1541" max="1541" width="15.5703125" style="1" customWidth="1"/>
    <col min="1542" max="1792" width="8.85546875" style="1"/>
    <col min="1793" max="1793" width="30.42578125" style="1" customWidth="1"/>
    <col min="1794" max="1796" width="8.85546875" style="1"/>
    <col min="1797" max="1797" width="15.5703125" style="1" customWidth="1"/>
    <col min="1798" max="2048" width="8.85546875" style="1"/>
    <col min="2049" max="2049" width="30.42578125" style="1" customWidth="1"/>
    <col min="2050" max="2052" width="8.85546875" style="1"/>
    <col min="2053" max="2053" width="15.5703125" style="1" customWidth="1"/>
    <col min="2054" max="2304" width="8.85546875" style="1"/>
    <col min="2305" max="2305" width="30.42578125" style="1" customWidth="1"/>
    <col min="2306" max="2308" width="8.85546875" style="1"/>
    <col min="2309" max="2309" width="15.5703125" style="1" customWidth="1"/>
    <col min="2310" max="2560" width="8.85546875" style="1"/>
    <col min="2561" max="2561" width="30.42578125" style="1" customWidth="1"/>
    <col min="2562" max="2564" width="8.85546875" style="1"/>
    <col min="2565" max="2565" width="15.5703125" style="1" customWidth="1"/>
    <col min="2566" max="2816" width="8.85546875" style="1"/>
    <col min="2817" max="2817" width="30.42578125" style="1" customWidth="1"/>
    <col min="2818" max="2820" width="8.85546875" style="1"/>
    <col min="2821" max="2821" width="15.5703125" style="1" customWidth="1"/>
    <col min="2822" max="3072" width="8.85546875" style="1"/>
    <col min="3073" max="3073" width="30.42578125" style="1" customWidth="1"/>
    <col min="3074" max="3076" width="8.85546875" style="1"/>
    <col min="3077" max="3077" width="15.5703125" style="1" customWidth="1"/>
    <col min="3078" max="3328" width="8.85546875" style="1"/>
    <col min="3329" max="3329" width="30.42578125" style="1" customWidth="1"/>
    <col min="3330" max="3332" width="8.85546875" style="1"/>
    <col min="3333" max="3333" width="15.5703125" style="1" customWidth="1"/>
    <col min="3334" max="3584" width="8.85546875" style="1"/>
    <col min="3585" max="3585" width="30.42578125" style="1" customWidth="1"/>
    <col min="3586" max="3588" width="8.85546875" style="1"/>
    <col min="3589" max="3589" width="15.5703125" style="1" customWidth="1"/>
    <col min="3590" max="3840" width="8.85546875" style="1"/>
    <col min="3841" max="3841" width="30.42578125" style="1" customWidth="1"/>
    <col min="3842" max="3844" width="8.85546875" style="1"/>
    <col min="3845" max="3845" width="15.5703125" style="1" customWidth="1"/>
    <col min="3846" max="4096" width="8.85546875" style="1"/>
    <col min="4097" max="4097" width="30.42578125" style="1" customWidth="1"/>
    <col min="4098" max="4100" width="8.85546875" style="1"/>
    <col min="4101" max="4101" width="15.5703125" style="1" customWidth="1"/>
    <col min="4102" max="4352" width="8.85546875" style="1"/>
    <col min="4353" max="4353" width="30.42578125" style="1" customWidth="1"/>
    <col min="4354" max="4356" width="8.85546875" style="1"/>
    <col min="4357" max="4357" width="15.5703125" style="1" customWidth="1"/>
    <col min="4358" max="4608" width="8.85546875" style="1"/>
    <col min="4609" max="4609" width="30.42578125" style="1" customWidth="1"/>
    <col min="4610" max="4612" width="8.85546875" style="1"/>
    <col min="4613" max="4613" width="15.5703125" style="1" customWidth="1"/>
    <col min="4614" max="4864" width="8.85546875" style="1"/>
    <col min="4865" max="4865" width="30.42578125" style="1" customWidth="1"/>
    <col min="4866" max="4868" width="8.85546875" style="1"/>
    <col min="4869" max="4869" width="15.5703125" style="1" customWidth="1"/>
    <col min="4870" max="5120" width="8.85546875" style="1"/>
    <col min="5121" max="5121" width="30.42578125" style="1" customWidth="1"/>
    <col min="5122" max="5124" width="8.85546875" style="1"/>
    <col min="5125" max="5125" width="15.5703125" style="1" customWidth="1"/>
    <col min="5126" max="5376" width="8.85546875" style="1"/>
    <col min="5377" max="5377" width="30.42578125" style="1" customWidth="1"/>
    <col min="5378" max="5380" width="8.85546875" style="1"/>
    <col min="5381" max="5381" width="15.5703125" style="1" customWidth="1"/>
    <col min="5382" max="5632" width="8.85546875" style="1"/>
    <col min="5633" max="5633" width="30.42578125" style="1" customWidth="1"/>
    <col min="5634" max="5636" width="8.85546875" style="1"/>
    <col min="5637" max="5637" width="15.5703125" style="1" customWidth="1"/>
    <col min="5638" max="5888" width="8.85546875" style="1"/>
    <col min="5889" max="5889" width="30.42578125" style="1" customWidth="1"/>
    <col min="5890" max="5892" width="8.85546875" style="1"/>
    <col min="5893" max="5893" width="15.5703125" style="1" customWidth="1"/>
    <col min="5894" max="6144" width="8.85546875" style="1"/>
    <col min="6145" max="6145" width="30.42578125" style="1" customWidth="1"/>
    <col min="6146" max="6148" width="8.85546875" style="1"/>
    <col min="6149" max="6149" width="15.5703125" style="1" customWidth="1"/>
    <col min="6150" max="6400" width="8.85546875" style="1"/>
    <col min="6401" max="6401" width="30.42578125" style="1" customWidth="1"/>
    <col min="6402" max="6404" width="8.85546875" style="1"/>
    <col min="6405" max="6405" width="15.5703125" style="1" customWidth="1"/>
    <col min="6406" max="6656" width="8.85546875" style="1"/>
    <col min="6657" max="6657" width="30.42578125" style="1" customWidth="1"/>
    <col min="6658" max="6660" width="8.85546875" style="1"/>
    <col min="6661" max="6661" width="15.5703125" style="1" customWidth="1"/>
    <col min="6662" max="6912" width="8.85546875" style="1"/>
    <col min="6913" max="6913" width="30.42578125" style="1" customWidth="1"/>
    <col min="6914" max="6916" width="8.85546875" style="1"/>
    <col min="6917" max="6917" width="15.5703125" style="1" customWidth="1"/>
    <col min="6918" max="7168" width="8.85546875" style="1"/>
    <col min="7169" max="7169" width="30.42578125" style="1" customWidth="1"/>
    <col min="7170" max="7172" width="8.85546875" style="1"/>
    <col min="7173" max="7173" width="15.5703125" style="1" customWidth="1"/>
    <col min="7174" max="7424" width="8.85546875" style="1"/>
    <col min="7425" max="7425" width="30.42578125" style="1" customWidth="1"/>
    <col min="7426" max="7428" width="8.85546875" style="1"/>
    <col min="7429" max="7429" width="15.5703125" style="1" customWidth="1"/>
    <col min="7430" max="7680" width="8.85546875" style="1"/>
    <col min="7681" max="7681" width="30.42578125" style="1" customWidth="1"/>
    <col min="7682" max="7684" width="8.85546875" style="1"/>
    <col min="7685" max="7685" width="15.5703125" style="1" customWidth="1"/>
    <col min="7686" max="7936" width="8.85546875" style="1"/>
    <col min="7937" max="7937" width="30.42578125" style="1" customWidth="1"/>
    <col min="7938" max="7940" width="8.85546875" style="1"/>
    <col min="7941" max="7941" width="15.5703125" style="1" customWidth="1"/>
    <col min="7942" max="8192" width="8.85546875" style="1"/>
    <col min="8193" max="8193" width="30.42578125" style="1" customWidth="1"/>
    <col min="8194" max="8196" width="8.85546875" style="1"/>
    <col min="8197" max="8197" width="15.5703125" style="1" customWidth="1"/>
    <col min="8198" max="8448" width="8.85546875" style="1"/>
    <col min="8449" max="8449" width="30.42578125" style="1" customWidth="1"/>
    <col min="8450" max="8452" width="8.85546875" style="1"/>
    <col min="8453" max="8453" width="15.5703125" style="1" customWidth="1"/>
    <col min="8454" max="8704" width="8.85546875" style="1"/>
    <col min="8705" max="8705" width="30.42578125" style="1" customWidth="1"/>
    <col min="8706" max="8708" width="8.85546875" style="1"/>
    <col min="8709" max="8709" width="15.5703125" style="1" customWidth="1"/>
    <col min="8710" max="8960" width="8.85546875" style="1"/>
    <col min="8961" max="8961" width="30.42578125" style="1" customWidth="1"/>
    <col min="8962" max="8964" width="8.85546875" style="1"/>
    <col min="8965" max="8965" width="15.5703125" style="1" customWidth="1"/>
    <col min="8966" max="9216" width="8.85546875" style="1"/>
    <col min="9217" max="9217" width="30.42578125" style="1" customWidth="1"/>
    <col min="9218" max="9220" width="8.85546875" style="1"/>
    <col min="9221" max="9221" width="15.5703125" style="1" customWidth="1"/>
    <col min="9222" max="9472" width="8.85546875" style="1"/>
    <col min="9473" max="9473" width="30.42578125" style="1" customWidth="1"/>
    <col min="9474" max="9476" width="8.85546875" style="1"/>
    <col min="9477" max="9477" width="15.5703125" style="1" customWidth="1"/>
    <col min="9478" max="9728" width="8.85546875" style="1"/>
    <col min="9729" max="9729" width="30.42578125" style="1" customWidth="1"/>
    <col min="9730" max="9732" width="8.85546875" style="1"/>
    <col min="9733" max="9733" width="15.5703125" style="1" customWidth="1"/>
    <col min="9734" max="9984" width="8.85546875" style="1"/>
    <col min="9985" max="9985" width="30.42578125" style="1" customWidth="1"/>
    <col min="9986" max="9988" width="8.85546875" style="1"/>
    <col min="9989" max="9989" width="15.5703125" style="1" customWidth="1"/>
    <col min="9990" max="10240" width="8.85546875" style="1"/>
    <col min="10241" max="10241" width="30.42578125" style="1" customWidth="1"/>
    <col min="10242" max="10244" width="8.85546875" style="1"/>
    <col min="10245" max="10245" width="15.5703125" style="1" customWidth="1"/>
    <col min="10246" max="10496" width="8.85546875" style="1"/>
    <col min="10497" max="10497" width="30.42578125" style="1" customWidth="1"/>
    <col min="10498" max="10500" width="8.85546875" style="1"/>
    <col min="10501" max="10501" width="15.5703125" style="1" customWidth="1"/>
    <col min="10502" max="10752" width="8.85546875" style="1"/>
    <col min="10753" max="10753" width="30.42578125" style="1" customWidth="1"/>
    <col min="10754" max="10756" width="8.85546875" style="1"/>
    <col min="10757" max="10757" width="15.5703125" style="1" customWidth="1"/>
    <col min="10758" max="11008" width="8.85546875" style="1"/>
    <col min="11009" max="11009" width="30.42578125" style="1" customWidth="1"/>
    <col min="11010" max="11012" width="8.85546875" style="1"/>
    <col min="11013" max="11013" width="15.5703125" style="1" customWidth="1"/>
    <col min="11014" max="11264" width="8.85546875" style="1"/>
    <col min="11265" max="11265" width="30.42578125" style="1" customWidth="1"/>
    <col min="11266" max="11268" width="8.85546875" style="1"/>
    <col min="11269" max="11269" width="15.5703125" style="1" customWidth="1"/>
    <col min="11270" max="11520" width="8.85546875" style="1"/>
    <col min="11521" max="11521" width="30.42578125" style="1" customWidth="1"/>
    <col min="11522" max="11524" width="8.85546875" style="1"/>
    <col min="11525" max="11525" width="15.5703125" style="1" customWidth="1"/>
    <col min="11526" max="11776" width="8.85546875" style="1"/>
    <col min="11777" max="11777" width="30.42578125" style="1" customWidth="1"/>
    <col min="11778" max="11780" width="8.85546875" style="1"/>
    <col min="11781" max="11781" width="15.5703125" style="1" customWidth="1"/>
    <col min="11782" max="12032" width="8.85546875" style="1"/>
    <col min="12033" max="12033" width="30.42578125" style="1" customWidth="1"/>
    <col min="12034" max="12036" width="8.85546875" style="1"/>
    <col min="12037" max="12037" width="15.5703125" style="1" customWidth="1"/>
    <col min="12038" max="12288" width="8.85546875" style="1"/>
    <col min="12289" max="12289" width="30.42578125" style="1" customWidth="1"/>
    <col min="12290" max="12292" width="8.85546875" style="1"/>
    <col min="12293" max="12293" width="15.5703125" style="1" customWidth="1"/>
    <col min="12294" max="12544" width="8.85546875" style="1"/>
    <col min="12545" max="12545" width="30.42578125" style="1" customWidth="1"/>
    <col min="12546" max="12548" width="8.85546875" style="1"/>
    <col min="12549" max="12549" width="15.5703125" style="1" customWidth="1"/>
    <col min="12550" max="12800" width="8.85546875" style="1"/>
    <col min="12801" max="12801" width="30.42578125" style="1" customWidth="1"/>
    <col min="12802" max="12804" width="8.85546875" style="1"/>
    <col min="12805" max="12805" width="15.5703125" style="1" customWidth="1"/>
    <col min="12806" max="13056" width="8.85546875" style="1"/>
    <col min="13057" max="13057" width="30.42578125" style="1" customWidth="1"/>
    <col min="13058" max="13060" width="8.85546875" style="1"/>
    <col min="13061" max="13061" width="15.5703125" style="1" customWidth="1"/>
    <col min="13062" max="13312" width="8.85546875" style="1"/>
    <col min="13313" max="13313" width="30.42578125" style="1" customWidth="1"/>
    <col min="13314" max="13316" width="8.85546875" style="1"/>
    <col min="13317" max="13317" width="15.5703125" style="1" customWidth="1"/>
    <col min="13318" max="13568" width="8.85546875" style="1"/>
    <col min="13569" max="13569" width="30.42578125" style="1" customWidth="1"/>
    <col min="13570" max="13572" width="8.85546875" style="1"/>
    <col min="13573" max="13573" width="15.5703125" style="1" customWidth="1"/>
    <col min="13574" max="13824" width="8.85546875" style="1"/>
    <col min="13825" max="13825" width="30.42578125" style="1" customWidth="1"/>
    <col min="13826" max="13828" width="8.85546875" style="1"/>
    <col min="13829" max="13829" width="15.5703125" style="1" customWidth="1"/>
    <col min="13830" max="14080" width="8.85546875" style="1"/>
    <col min="14081" max="14081" width="30.42578125" style="1" customWidth="1"/>
    <col min="14082" max="14084" width="8.85546875" style="1"/>
    <col min="14085" max="14085" width="15.5703125" style="1" customWidth="1"/>
    <col min="14086" max="14336" width="8.85546875" style="1"/>
    <col min="14337" max="14337" width="30.42578125" style="1" customWidth="1"/>
    <col min="14338" max="14340" width="8.85546875" style="1"/>
    <col min="14341" max="14341" width="15.5703125" style="1" customWidth="1"/>
    <col min="14342" max="14592" width="8.85546875" style="1"/>
    <col min="14593" max="14593" width="30.42578125" style="1" customWidth="1"/>
    <col min="14594" max="14596" width="8.85546875" style="1"/>
    <col min="14597" max="14597" width="15.5703125" style="1" customWidth="1"/>
    <col min="14598" max="14848" width="8.85546875" style="1"/>
    <col min="14849" max="14849" width="30.42578125" style="1" customWidth="1"/>
    <col min="14850" max="14852" width="8.85546875" style="1"/>
    <col min="14853" max="14853" width="15.5703125" style="1" customWidth="1"/>
    <col min="14854" max="15104" width="8.85546875" style="1"/>
    <col min="15105" max="15105" width="30.42578125" style="1" customWidth="1"/>
    <col min="15106" max="15108" width="8.85546875" style="1"/>
    <col min="15109" max="15109" width="15.5703125" style="1" customWidth="1"/>
    <col min="15110" max="15360" width="8.85546875" style="1"/>
    <col min="15361" max="15361" width="30.42578125" style="1" customWidth="1"/>
    <col min="15362" max="15364" width="8.85546875" style="1"/>
    <col min="15365" max="15365" width="15.5703125" style="1" customWidth="1"/>
    <col min="15366" max="15616" width="8.85546875" style="1"/>
    <col min="15617" max="15617" width="30.42578125" style="1" customWidth="1"/>
    <col min="15618" max="15620" width="8.85546875" style="1"/>
    <col min="15621" max="15621" width="15.5703125" style="1" customWidth="1"/>
    <col min="15622" max="15872" width="8.85546875" style="1"/>
    <col min="15873" max="15873" width="30.42578125" style="1" customWidth="1"/>
    <col min="15874" max="15876" width="8.85546875" style="1"/>
    <col min="15877" max="15877" width="15.5703125" style="1" customWidth="1"/>
    <col min="15878" max="16128" width="8.85546875" style="1"/>
    <col min="16129" max="16129" width="30.42578125" style="1" customWidth="1"/>
    <col min="16130" max="16132" width="8.85546875" style="1"/>
    <col min="16133" max="16133" width="15.5703125" style="1" customWidth="1"/>
    <col min="16134" max="16384" width="8.85546875" style="1"/>
  </cols>
  <sheetData>
    <row r="1" spans="2:23">
      <c r="B1" s="24" t="s">
        <v>386</v>
      </c>
      <c r="C1" s="24"/>
      <c r="D1" s="25"/>
      <c r="E1" s="25"/>
      <c r="F1" s="25"/>
      <c r="H1" s="105"/>
      <c r="I1" s="27"/>
      <c r="J1" s="27"/>
      <c r="K1" s="27"/>
      <c r="L1" s="27"/>
      <c r="M1" s="27"/>
      <c r="N1" s="27"/>
      <c r="O1" s="27"/>
      <c r="P1" s="27"/>
      <c r="Q1" s="27"/>
      <c r="R1" s="27"/>
      <c r="S1" s="27"/>
      <c r="T1" s="27"/>
      <c r="U1" s="27"/>
      <c r="V1" s="27"/>
      <c r="W1" s="27"/>
    </row>
    <row r="2" spans="2:23" ht="15.75" thickBot="1">
      <c r="B2" s="25" t="s">
        <v>354</v>
      </c>
      <c r="C2" s="25"/>
      <c r="D2" s="25"/>
      <c r="E2" s="25"/>
      <c r="F2" s="25"/>
      <c r="H2" s="26"/>
      <c r="I2" s="27"/>
      <c r="J2" s="27"/>
      <c r="K2" s="27"/>
      <c r="L2" s="27"/>
      <c r="M2" s="27">
        <v>53993</v>
      </c>
      <c r="N2" s="27"/>
      <c r="O2" s="27"/>
      <c r="P2" s="27"/>
      <c r="Q2" s="27"/>
      <c r="R2" s="27"/>
      <c r="S2" s="27"/>
      <c r="T2" s="27"/>
      <c r="U2" s="27"/>
      <c r="V2" s="27"/>
      <c r="W2" s="27"/>
    </row>
    <row r="3" spans="2:23" ht="15.75" thickBot="1">
      <c r="B3" s="25"/>
      <c r="C3" s="25"/>
      <c r="D3" s="25"/>
      <c r="E3" s="25"/>
      <c r="F3" s="25"/>
      <c r="H3" s="1201" t="s">
        <v>386</v>
      </c>
      <c r="I3" s="1202"/>
      <c r="J3" s="1202"/>
      <c r="K3" s="1203"/>
      <c r="L3" s="27"/>
      <c r="M3" s="27"/>
      <c r="N3" s="27"/>
      <c r="O3" s="27"/>
      <c r="P3" s="27"/>
      <c r="Q3" s="27"/>
      <c r="R3" s="27"/>
      <c r="S3" s="27"/>
      <c r="T3" s="27"/>
      <c r="U3" s="27"/>
      <c r="V3" s="27"/>
      <c r="W3" s="27"/>
    </row>
    <row r="4" spans="2:23" ht="15.75" thickBot="1">
      <c r="B4" s="28" t="s">
        <v>387</v>
      </c>
      <c r="C4" s="29"/>
      <c r="D4" s="29"/>
      <c r="E4" s="29"/>
      <c r="F4" s="30"/>
      <c r="G4" s="31"/>
      <c r="H4" s="106" t="s">
        <v>387</v>
      </c>
      <c r="I4" s="107"/>
      <c r="J4" s="107"/>
      <c r="K4" s="108">
        <v>10</v>
      </c>
      <c r="L4" s="27"/>
      <c r="M4" s="27"/>
      <c r="N4" s="27"/>
      <c r="O4" s="1159" t="s">
        <v>356</v>
      </c>
      <c r="P4" s="1160"/>
      <c r="Q4" s="1160"/>
      <c r="R4" s="1160"/>
      <c r="S4" s="1160"/>
      <c r="T4" s="1160"/>
      <c r="U4" s="1161"/>
      <c r="V4" s="27"/>
      <c r="W4" s="27"/>
    </row>
    <row r="5" spans="2:23" ht="15.75" thickBot="1">
      <c r="B5" s="35"/>
      <c r="C5" s="36"/>
      <c r="D5" s="36"/>
      <c r="E5" s="36"/>
      <c r="F5" s="37"/>
      <c r="G5" s="31"/>
      <c r="H5" s="109"/>
      <c r="I5" s="27"/>
      <c r="J5" s="27"/>
      <c r="K5" s="73"/>
      <c r="L5" s="27"/>
      <c r="M5" s="27"/>
      <c r="N5" s="27"/>
      <c r="O5" s="1185" t="s">
        <v>357</v>
      </c>
      <c r="P5" s="1186"/>
      <c r="Q5" s="1186"/>
      <c r="R5" s="1186"/>
      <c r="S5" s="1186"/>
      <c r="T5" s="1186"/>
      <c r="U5" s="1187"/>
      <c r="V5" s="27"/>
      <c r="W5" s="27"/>
    </row>
    <row r="6" spans="2:23">
      <c r="B6" s="35"/>
      <c r="C6" s="36"/>
      <c r="D6" s="39" t="s">
        <v>299</v>
      </c>
      <c r="E6" s="39" t="s">
        <v>300</v>
      </c>
      <c r="F6" s="40" t="s">
        <v>301</v>
      </c>
      <c r="G6" s="41"/>
      <c r="H6" s="110"/>
      <c r="I6" s="111" t="s">
        <v>299</v>
      </c>
      <c r="J6" s="111" t="s">
        <v>300</v>
      </c>
      <c r="K6" s="112" t="s">
        <v>301</v>
      </c>
      <c r="L6" s="27"/>
      <c r="M6" s="27"/>
      <c r="N6" s="27"/>
      <c r="O6" s="110" t="s">
        <v>388</v>
      </c>
      <c r="P6" s="113" t="e">
        <f>#REF!</f>
        <v>#REF!</v>
      </c>
      <c r="Q6" s="70" t="s">
        <v>358</v>
      </c>
      <c r="R6" s="27"/>
      <c r="S6" s="27"/>
      <c r="T6" s="27"/>
      <c r="U6" s="73"/>
      <c r="V6" s="27"/>
      <c r="W6" s="27"/>
    </row>
    <row r="7" spans="2:23">
      <c r="B7" s="35" t="s">
        <v>388</v>
      </c>
      <c r="C7" s="36"/>
      <c r="D7" s="46">
        <f>52564</f>
        <v>52564</v>
      </c>
      <c r="E7" s="36">
        <v>0.01</v>
      </c>
      <c r="F7" s="47">
        <v>525.64428772849237</v>
      </c>
      <c r="G7" s="48"/>
      <c r="H7" s="110" t="str">
        <f>O6</f>
        <v>Management</v>
      </c>
      <c r="I7" s="114" t="e">
        <f>P6</f>
        <v>#REF!</v>
      </c>
      <c r="J7" s="27">
        <v>0.01</v>
      </c>
      <c r="K7" s="115" t="e">
        <f>I7*J7</f>
        <v>#REF!</v>
      </c>
      <c r="L7" s="27"/>
      <c r="M7" s="27"/>
      <c r="N7" s="27"/>
      <c r="O7" s="110" t="s">
        <v>360</v>
      </c>
      <c r="P7" s="113" t="e">
        <f>#REF!</f>
        <v>#REF!</v>
      </c>
      <c r="Q7" s="70" t="s">
        <v>361</v>
      </c>
      <c r="R7" s="27"/>
      <c r="S7" s="27"/>
      <c r="T7" s="27"/>
      <c r="U7" s="73"/>
      <c r="V7" s="27"/>
      <c r="W7" s="27"/>
    </row>
    <row r="8" spans="2:23" ht="15.75" thickBot="1">
      <c r="B8" s="35" t="s">
        <v>389</v>
      </c>
      <c r="C8" s="36"/>
      <c r="D8" s="46">
        <f>47000</f>
        <v>47000</v>
      </c>
      <c r="E8" s="36">
        <v>0.19</v>
      </c>
      <c r="F8" s="47">
        <v>8930</v>
      </c>
      <c r="G8" s="48"/>
      <c r="H8" s="110" t="s">
        <v>360</v>
      </c>
      <c r="I8" s="114" t="e">
        <f>P7</f>
        <v>#REF!</v>
      </c>
      <c r="J8" s="27">
        <v>0.09</v>
      </c>
      <c r="K8" s="115" t="e">
        <f>I8*J8</f>
        <v>#REF!</v>
      </c>
      <c r="L8" s="27"/>
      <c r="M8" s="27"/>
      <c r="N8" s="27"/>
      <c r="O8" s="110" t="s">
        <v>390</v>
      </c>
      <c r="P8" s="113" t="e">
        <f>#REF!</f>
        <v>#REF!</v>
      </c>
      <c r="Q8" s="206" t="s">
        <v>363</v>
      </c>
      <c r="R8" s="27"/>
      <c r="S8" s="27"/>
      <c r="T8" s="27"/>
      <c r="U8" s="73"/>
      <c r="V8" s="27"/>
      <c r="W8" s="27"/>
    </row>
    <row r="9" spans="2:23" ht="15.75" thickBot="1">
      <c r="B9" s="53" t="s">
        <v>364</v>
      </c>
      <c r="C9" s="54"/>
      <c r="D9" s="54"/>
      <c r="E9" s="55">
        <v>0.2</v>
      </c>
      <c r="F9" s="56">
        <v>9455.6442877284917</v>
      </c>
      <c r="G9" s="48"/>
      <c r="H9" s="110" t="str">
        <f>O8</f>
        <v xml:space="preserve">Direct Care  </v>
      </c>
      <c r="I9" s="114" t="e">
        <f>P8</f>
        <v>#REF!</v>
      </c>
      <c r="J9" s="27">
        <v>0.1</v>
      </c>
      <c r="K9" s="115" t="e">
        <f>I9*J9</f>
        <v>#REF!</v>
      </c>
      <c r="L9" s="27"/>
      <c r="M9" s="27"/>
      <c r="N9" s="27"/>
      <c r="O9" s="1185" t="s">
        <v>325</v>
      </c>
      <c r="P9" s="1186"/>
      <c r="Q9" s="1186"/>
      <c r="R9" s="1186"/>
      <c r="S9" s="1186"/>
      <c r="T9" s="1186"/>
      <c r="U9" s="1187"/>
      <c r="V9" s="27"/>
      <c r="W9" s="27"/>
    </row>
    <row r="10" spans="2:23">
      <c r="B10" s="35"/>
      <c r="C10" s="36"/>
      <c r="D10" s="36"/>
      <c r="E10" s="36"/>
      <c r="F10" s="37"/>
      <c r="G10" s="31"/>
      <c r="H10" s="116" t="s">
        <v>364</v>
      </c>
      <c r="I10" s="85"/>
      <c r="J10" s="117">
        <v>0.2</v>
      </c>
      <c r="K10" s="118" t="e">
        <f>SUM(K7:K9)</f>
        <v>#REF!</v>
      </c>
      <c r="L10" s="27"/>
      <c r="M10" s="27"/>
      <c r="N10" s="27"/>
      <c r="O10" s="110" t="s">
        <v>327</v>
      </c>
      <c r="P10" s="119">
        <v>0.24199999999999999</v>
      </c>
      <c r="Q10" s="204" t="s">
        <v>365</v>
      </c>
      <c r="R10" s="27"/>
      <c r="S10" s="27"/>
      <c r="T10" s="27"/>
      <c r="U10" s="73"/>
      <c r="V10" s="27"/>
      <c r="W10" s="27"/>
    </row>
    <row r="11" spans="2:23">
      <c r="B11" s="35" t="s">
        <v>328</v>
      </c>
      <c r="C11" s="36"/>
      <c r="D11" s="36"/>
      <c r="E11" s="36"/>
      <c r="F11" s="37"/>
      <c r="G11" s="31"/>
      <c r="H11" s="110"/>
      <c r="I11" s="27"/>
      <c r="J11" s="27"/>
      <c r="K11" s="73"/>
      <c r="L11" s="27"/>
      <c r="M11" s="27"/>
      <c r="N11" s="27"/>
      <c r="O11" s="110" t="s">
        <v>178</v>
      </c>
      <c r="P11" s="119">
        <v>0.12</v>
      </c>
      <c r="Q11" s="205" t="s">
        <v>366</v>
      </c>
      <c r="R11" s="27"/>
      <c r="S11" s="27"/>
      <c r="T11" s="27"/>
      <c r="U11" s="73"/>
      <c r="V11" s="27"/>
      <c r="W11" s="27"/>
    </row>
    <row r="12" spans="2:23">
      <c r="B12" s="35" t="s">
        <v>367</v>
      </c>
      <c r="C12" s="36"/>
      <c r="D12" s="60">
        <v>0.21590826871491237</v>
      </c>
      <c r="E12" s="60"/>
      <c r="F12" s="47">
        <v>2041.5517877475093</v>
      </c>
      <c r="G12" s="48"/>
      <c r="H12" s="110"/>
      <c r="I12" s="27"/>
      <c r="J12" s="27"/>
      <c r="K12" s="73"/>
      <c r="L12" s="27"/>
      <c r="M12" s="27"/>
      <c r="N12" s="27"/>
      <c r="O12" s="120" t="s">
        <v>371</v>
      </c>
      <c r="P12" s="113">
        <f ca="1">'FY20 UFR Data'!E5</f>
        <v>5963.9694954316819</v>
      </c>
      <c r="Q12" s="70" t="s">
        <v>391</v>
      </c>
      <c r="R12" s="27"/>
      <c r="S12" s="27"/>
      <c r="T12" s="27"/>
      <c r="U12" s="73"/>
      <c r="V12" s="27"/>
      <c r="W12" s="27"/>
    </row>
    <row r="13" spans="2:23" ht="15.75" thickBot="1">
      <c r="B13" s="53" t="s">
        <v>331</v>
      </c>
      <c r="C13" s="54"/>
      <c r="D13" s="54"/>
      <c r="E13" s="54"/>
      <c r="F13" s="56">
        <v>11497.196075476</v>
      </c>
      <c r="G13" s="48"/>
      <c r="H13" s="110" t="s">
        <v>367</v>
      </c>
      <c r="I13" s="121">
        <f>P10</f>
        <v>0.24199999999999999</v>
      </c>
      <c r="J13" s="122"/>
      <c r="K13" s="115" t="e">
        <f>I13*K10</f>
        <v>#REF!</v>
      </c>
      <c r="L13" s="27"/>
      <c r="M13" s="27"/>
      <c r="N13" s="27"/>
      <c r="O13" s="110" t="str">
        <f>H17</f>
        <v>Program Supplies &amp; Materials</v>
      </c>
      <c r="P13" s="113">
        <f ca="1">'FY20 UFR Data'!AK5</f>
        <v>1347.3502436316674</v>
      </c>
      <c r="Q13" s="206" t="s">
        <v>392</v>
      </c>
      <c r="R13" s="27"/>
      <c r="S13" s="27"/>
      <c r="T13" s="27"/>
      <c r="U13" s="73"/>
      <c r="V13" s="27"/>
      <c r="W13" s="27"/>
    </row>
    <row r="14" spans="2:23" ht="15.75" thickBot="1">
      <c r="B14" s="35"/>
      <c r="C14" s="36"/>
      <c r="D14" s="36"/>
      <c r="E14" s="36"/>
      <c r="F14" s="37"/>
      <c r="G14" s="31"/>
      <c r="H14" s="116" t="s">
        <v>331</v>
      </c>
      <c r="I14" s="85"/>
      <c r="J14" s="85"/>
      <c r="K14" s="118" t="e">
        <f>SUM(K10:K13)</f>
        <v>#REF!</v>
      </c>
      <c r="L14" s="27"/>
      <c r="M14" s="27"/>
      <c r="N14" s="27"/>
      <c r="O14" s="123" t="s">
        <v>372</v>
      </c>
      <c r="P14" s="124" t="e">
        <f>#REF!</f>
        <v>#REF!</v>
      </c>
      <c r="Q14" s="125" t="s">
        <v>393</v>
      </c>
      <c r="R14" s="125"/>
      <c r="S14" s="125"/>
      <c r="T14" s="125"/>
      <c r="U14" s="126"/>
      <c r="V14" s="27"/>
      <c r="W14" s="27"/>
    </row>
    <row r="15" spans="2:23">
      <c r="B15" s="35" t="s">
        <v>370</v>
      </c>
      <c r="C15" s="36"/>
      <c r="D15" s="36" t="s">
        <v>507</v>
      </c>
      <c r="E15" s="36"/>
      <c r="F15" s="47">
        <v>1190.3157894736842</v>
      </c>
      <c r="G15" s="48"/>
      <c r="H15" s="110"/>
      <c r="I15" s="27"/>
      <c r="J15" s="27"/>
      <c r="K15" s="73"/>
      <c r="L15" s="27"/>
      <c r="M15" s="27"/>
      <c r="N15" s="27"/>
      <c r="O15" s="27"/>
      <c r="P15" s="27"/>
      <c r="Q15" s="27"/>
      <c r="R15" s="27"/>
      <c r="S15" s="27"/>
      <c r="T15" s="27"/>
      <c r="U15" s="27"/>
      <c r="V15" s="27"/>
      <c r="W15" s="27"/>
    </row>
    <row r="16" spans="2:23">
      <c r="B16" s="35"/>
      <c r="C16" s="36"/>
      <c r="D16" s="68">
        <v>99.192982456140356</v>
      </c>
      <c r="E16" s="36"/>
      <c r="F16" s="37"/>
      <c r="G16" s="79"/>
      <c r="H16" s="120" t="s">
        <v>371</v>
      </c>
      <c r="I16" s="114">
        <f ca="1">P12</f>
        <v>5963.9694954316819</v>
      </c>
      <c r="J16" s="27"/>
      <c r="K16" s="115">
        <f ca="1">I16*J10</f>
        <v>1192.7938990863365</v>
      </c>
      <c r="L16" s="114">
        <f ca="1">SUM(K16:K17)</f>
        <v>2540.1441427180039</v>
      </c>
      <c r="M16" s="27"/>
      <c r="N16" s="27"/>
      <c r="O16" s="27"/>
      <c r="P16" s="27"/>
      <c r="Q16" s="27"/>
      <c r="R16" s="27"/>
      <c r="S16" s="27"/>
      <c r="T16" s="27"/>
      <c r="U16" s="27"/>
      <c r="V16" s="27"/>
      <c r="W16" s="27"/>
    </row>
    <row r="17" spans="2:23">
      <c r="B17" s="35" t="s">
        <v>374</v>
      </c>
      <c r="C17" s="36"/>
      <c r="D17" s="36"/>
      <c r="E17" s="36"/>
      <c r="F17" s="47">
        <v>1500</v>
      </c>
      <c r="G17" s="48"/>
      <c r="H17" s="110" t="s">
        <v>369</v>
      </c>
      <c r="I17" s="27"/>
      <c r="J17" s="27"/>
      <c r="K17" s="115">
        <f ca="1">P13</f>
        <v>1347.3502436316674</v>
      </c>
      <c r="L17" s="27"/>
      <c r="M17" s="27"/>
      <c r="N17" s="27"/>
      <c r="O17" s="27"/>
      <c r="P17" s="27"/>
      <c r="Q17" s="27"/>
      <c r="R17" s="27"/>
      <c r="S17" s="27"/>
      <c r="T17" s="27"/>
      <c r="U17" s="27"/>
      <c r="V17" s="27"/>
      <c r="W17" s="27"/>
    </row>
    <row r="18" spans="2:23">
      <c r="B18" s="35"/>
      <c r="C18" s="36"/>
      <c r="D18" s="68"/>
      <c r="E18" s="36"/>
      <c r="F18" s="47"/>
      <c r="G18" s="48"/>
      <c r="H18" s="110"/>
      <c r="I18" s="27"/>
      <c r="J18" s="27"/>
      <c r="K18" s="73"/>
      <c r="L18" s="27"/>
      <c r="M18" s="27"/>
      <c r="N18" s="27"/>
      <c r="O18" s="27"/>
      <c r="P18" s="27"/>
      <c r="Q18" s="27"/>
      <c r="R18" s="27"/>
      <c r="S18" s="27"/>
      <c r="T18" s="27"/>
      <c r="U18" s="27"/>
      <c r="V18" s="27"/>
      <c r="W18" s="27"/>
    </row>
    <row r="19" spans="2:23">
      <c r="B19" s="35"/>
      <c r="C19" s="36"/>
      <c r="D19" s="36"/>
      <c r="E19" s="36"/>
      <c r="F19" s="47"/>
      <c r="G19" s="48"/>
      <c r="H19" s="116" t="s">
        <v>376</v>
      </c>
      <c r="I19" s="85"/>
      <c r="J19" s="85"/>
      <c r="K19" s="118" t="e">
        <f>SUM(K14:K18)</f>
        <v>#REF!</v>
      </c>
      <c r="L19" s="27"/>
      <c r="M19" s="27"/>
      <c r="N19" s="27"/>
      <c r="O19" s="27"/>
      <c r="P19" s="27"/>
      <c r="Q19" s="27"/>
      <c r="R19" s="27"/>
      <c r="S19" s="27"/>
      <c r="T19" s="27"/>
      <c r="U19" s="27"/>
      <c r="V19" s="27"/>
      <c r="W19" s="27"/>
    </row>
    <row r="20" spans="2:23">
      <c r="B20" s="35"/>
      <c r="C20" s="36"/>
      <c r="D20" s="36"/>
      <c r="E20" s="36"/>
      <c r="F20" s="37"/>
      <c r="G20" s="31"/>
      <c r="H20" s="110" t="s">
        <v>377</v>
      </c>
      <c r="I20" s="121">
        <f>P11</f>
        <v>0.12</v>
      </c>
      <c r="J20" s="27"/>
      <c r="K20" s="115" t="e">
        <f>I20*K19</f>
        <v>#REF!</v>
      </c>
      <c r="L20" s="27"/>
      <c r="M20" s="27"/>
      <c r="N20" s="27"/>
      <c r="O20" s="27"/>
      <c r="P20" s="27"/>
      <c r="Q20" s="27"/>
      <c r="R20" s="27"/>
      <c r="S20" s="27"/>
      <c r="T20" s="27"/>
      <c r="U20" s="27"/>
      <c r="V20" s="27"/>
      <c r="W20" s="27"/>
    </row>
    <row r="21" spans="2:23">
      <c r="B21" s="35" t="s">
        <v>377</v>
      </c>
      <c r="C21" s="36"/>
      <c r="D21" s="60">
        <v>0.11306220647863946</v>
      </c>
      <c r="E21" s="36"/>
      <c r="F21" s="78">
        <v>1604.1622893736139</v>
      </c>
      <c r="G21" s="79"/>
      <c r="H21" s="110" t="s">
        <v>394</v>
      </c>
      <c r="I21" s="122"/>
      <c r="J21" s="27"/>
      <c r="K21" s="115" t="e">
        <f>SUM(K19:K20)</f>
        <v>#REF!</v>
      </c>
      <c r="L21" s="128"/>
      <c r="M21" s="27"/>
      <c r="N21" s="27"/>
      <c r="O21" s="27"/>
      <c r="P21" s="27"/>
      <c r="Q21" s="27"/>
      <c r="R21" s="27"/>
      <c r="S21" s="27"/>
      <c r="T21" s="27"/>
      <c r="U21" s="27"/>
      <c r="V21" s="27"/>
      <c r="W21" s="27"/>
    </row>
    <row r="22" spans="2:23" ht="15.75" thickBot="1">
      <c r="B22" s="35" t="s">
        <v>379</v>
      </c>
      <c r="C22" s="36"/>
      <c r="D22" s="36"/>
      <c r="E22" s="36"/>
      <c r="F22" s="78">
        <v>15792.478078847296</v>
      </c>
      <c r="G22" s="79"/>
      <c r="H22" s="129" t="s">
        <v>380</v>
      </c>
      <c r="I22" s="130"/>
      <c r="J22" s="131"/>
      <c r="K22" s="132" t="e">
        <f>K21/K4</f>
        <v>#REF!</v>
      </c>
      <c r="L22" s="27"/>
      <c r="M22" s="27"/>
      <c r="N22" s="27"/>
      <c r="O22" s="27"/>
      <c r="P22" s="27"/>
      <c r="Q22" s="27"/>
      <c r="R22" s="27"/>
      <c r="S22" s="27"/>
      <c r="T22" s="27"/>
      <c r="U22" s="27"/>
      <c r="V22" s="27"/>
      <c r="W22" s="27"/>
    </row>
    <row r="23" spans="2:23" ht="15.75" thickBot="1">
      <c r="B23" s="35" t="s">
        <v>378</v>
      </c>
      <c r="C23" s="36"/>
      <c r="D23" s="36"/>
      <c r="E23" s="133">
        <v>4.4599999999999973E-2</v>
      </c>
      <c r="F23" s="78">
        <v>16496.822601163887</v>
      </c>
      <c r="G23" s="79"/>
      <c r="H23" s="214" t="s">
        <v>395</v>
      </c>
      <c r="I23" s="215" t="e">
        <f>P14</f>
        <v>#REF!</v>
      </c>
      <c r="J23" s="216"/>
      <c r="K23" s="217" t="e">
        <f>K22*(1+I23)</f>
        <v>#REF!</v>
      </c>
      <c r="L23" s="211" t="e">
        <f>(K23-K24)/K24</f>
        <v>#REF!</v>
      </c>
      <c r="M23" s="27"/>
      <c r="N23" s="27"/>
      <c r="O23" s="27"/>
      <c r="P23" s="27"/>
      <c r="Q23" s="27"/>
      <c r="R23" s="27"/>
      <c r="S23" s="27"/>
      <c r="T23" s="27"/>
      <c r="U23" s="27"/>
      <c r="V23" s="27"/>
      <c r="W23" s="27"/>
    </row>
    <row r="24" spans="2:23">
      <c r="B24" s="135" t="s">
        <v>380</v>
      </c>
      <c r="C24" s="86"/>
      <c r="D24" s="136">
        <f>F24/F23</f>
        <v>8.3333333333333329E-2</v>
      </c>
      <c r="E24" s="86"/>
      <c r="F24" s="87">
        <v>1374.7352167636573</v>
      </c>
      <c r="G24" s="137"/>
      <c r="H24" s="27"/>
      <c r="I24" s="27"/>
      <c r="J24" s="27" t="s">
        <v>384</v>
      </c>
      <c r="K24" s="207">
        <v>1496.44</v>
      </c>
      <c r="L24" s="27"/>
      <c r="M24" s="27"/>
      <c r="N24" s="27"/>
      <c r="O24" s="27"/>
      <c r="P24" s="27"/>
      <c r="Q24" s="27"/>
      <c r="R24" s="27"/>
      <c r="S24" s="27"/>
      <c r="T24" s="27"/>
      <c r="U24" s="27"/>
      <c r="V24" s="27"/>
      <c r="W24" s="27"/>
    </row>
    <row r="25" spans="2:23" ht="15.75" thickBot="1">
      <c r="B25" s="92" t="s">
        <v>381</v>
      </c>
      <c r="C25" s="54"/>
      <c r="D25" s="54"/>
      <c r="E25" s="93">
        <v>2.9824052590873982E-2</v>
      </c>
      <c r="F25" s="138">
        <f>F24*(E25+1)</f>
        <v>1415.735392166943</v>
      </c>
      <c r="G25" s="79"/>
      <c r="H25" s="27"/>
      <c r="I25" s="27"/>
      <c r="J25" s="27" t="s">
        <v>385</v>
      </c>
      <c r="K25" s="161">
        <v>1692.63</v>
      </c>
      <c r="L25" s="119">
        <f>(K25-K24)/K24</f>
        <v>0.13110448798481733</v>
      </c>
      <c r="M25" s="27"/>
      <c r="N25" s="27"/>
      <c r="O25" s="27"/>
      <c r="P25" s="27"/>
      <c r="Q25" s="27"/>
      <c r="R25" s="27"/>
      <c r="S25" s="27"/>
      <c r="T25" s="27"/>
      <c r="U25" s="27"/>
      <c r="V25" s="27"/>
      <c r="W25" s="27"/>
    </row>
    <row r="26" spans="2:23" ht="15.75" thickBot="1">
      <c r="B26" s="92" t="s">
        <v>383</v>
      </c>
      <c r="C26" s="36"/>
      <c r="D26" s="36"/>
      <c r="E26" s="133">
        <v>2.7235921972764018E-2</v>
      </c>
      <c r="F26" s="139">
        <f>F25*(E26+1)+0.01</f>
        <v>1454.3042508420824</v>
      </c>
      <c r="G26" s="79"/>
      <c r="H26" s="105"/>
      <c r="I26" s="105"/>
      <c r="J26" s="140"/>
      <c r="K26" s="141"/>
      <c r="L26" s="27"/>
      <c r="M26" s="27"/>
      <c r="N26" s="27"/>
      <c r="O26" s="27"/>
      <c r="P26" s="27"/>
      <c r="Q26" s="27"/>
      <c r="R26" s="27"/>
      <c r="S26" s="27"/>
      <c r="T26" s="27"/>
      <c r="U26" s="27"/>
    </row>
    <row r="27" spans="2:23">
      <c r="B27" s="142"/>
      <c r="C27" s="31"/>
      <c r="D27" s="31"/>
      <c r="E27" s="143"/>
      <c r="H27" s="27"/>
      <c r="I27" s="27"/>
      <c r="J27" s="144"/>
      <c r="K27" s="145"/>
      <c r="L27" s="27"/>
      <c r="M27" s="27"/>
      <c r="N27" s="27"/>
      <c r="O27" s="27"/>
      <c r="P27" s="27"/>
      <c r="Q27" s="27"/>
      <c r="R27" s="27"/>
      <c r="S27" s="27"/>
      <c r="T27" s="27"/>
      <c r="U27" s="27"/>
    </row>
    <row r="28" spans="2:23">
      <c r="B28" s="41"/>
      <c r="C28" s="41"/>
      <c r="E28" s="95"/>
      <c r="F28" s="95"/>
      <c r="G28" s="95"/>
      <c r="H28" s="27"/>
      <c r="I28" s="27"/>
      <c r="J28" s="144"/>
      <c r="K28" s="145"/>
      <c r="L28" s="27"/>
      <c r="M28" s="27"/>
      <c r="N28" s="27"/>
      <c r="O28" s="27"/>
      <c r="P28" s="27"/>
      <c r="Q28" s="27"/>
      <c r="R28" s="27"/>
      <c r="S28" s="27"/>
      <c r="T28" s="27"/>
      <c r="U28" s="27"/>
    </row>
    <row r="29" spans="2:23">
      <c r="B29" s="31"/>
      <c r="C29" s="96"/>
      <c r="H29" s="27"/>
      <c r="I29" s="27"/>
      <c r="J29" s="144"/>
      <c r="K29" s="145"/>
      <c r="L29" s="27"/>
      <c r="M29" s="27"/>
      <c r="N29" s="27"/>
      <c r="O29" s="27"/>
      <c r="P29" s="27"/>
      <c r="Q29" s="27"/>
      <c r="R29" s="27"/>
      <c r="S29" s="27"/>
      <c r="T29" s="27"/>
      <c r="U29" s="27"/>
    </row>
    <row r="30" spans="2:23">
      <c r="B30" s="31"/>
      <c r="C30" s="79"/>
      <c r="E30" s="62"/>
      <c r="F30" s="62"/>
      <c r="G30" s="62"/>
      <c r="H30" s="27"/>
      <c r="I30" s="27"/>
      <c r="J30" s="144"/>
      <c r="K30" s="145"/>
      <c r="L30" s="27"/>
      <c r="M30" s="27"/>
      <c r="N30" s="27"/>
      <c r="O30" s="27"/>
      <c r="P30" s="27"/>
      <c r="Q30" s="27"/>
      <c r="R30" s="27"/>
      <c r="S30" s="27"/>
      <c r="T30" s="27"/>
      <c r="U30" s="27"/>
    </row>
    <row r="31" spans="2:23">
      <c r="B31" s="31"/>
      <c r="C31" s="79"/>
      <c r="E31" s="62"/>
      <c r="F31" s="62"/>
      <c r="G31" s="62"/>
      <c r="H31" s="27"/>
      <c r="I31" s="27"/>
      <c r="J31" s="144"/>
      <c r="K31" s="145"/>
      <c r="L31" s="27"/>
      <c r="M31" s="27"/>
      <c r="N31" s="27"/>
      <c r="O31" s="27"/>
      <c r="P31" s="27"/>
      <c r="Q31" s="27"/>
      <c r="R31" s="27"/>
      <c r="S31" s="27"/>
      <c r="T31" s="27"/>
      <c r="U31" s="27"/>
    </row>
    <row r="32" spans="2:23">
      <c r="B32" s="31"/>
      <c r="C32" s="79"/>
      <c r="E32" s="62"/>
      <c r="F32" s="62"/>
      <c r="G32" s="62"/>
      <c r="H32" s="27"/>
      <c r="I32" s="27"/>
      <c r="J32" s="27"/>
      <c r="K32" s="27"/>
      <c r="L32" s="27"/>
      <c r="M32" s="27"/>
      <c r="N32" s="27"/>
      <c r="O32" s="27"/>
      <c r="P32" s="27"/>
      <c r="Q32" s="27"/>
      <c r="R32" s="27"/>
      <c r="S32" s="27"/>
      <c r="T32" s="27"/>
      <c r="U32" s="27"/>
    </row>
    <row r="33" spans="2:21">
      <c r="B33" s="31"/>
      <c r="C33" s="79"/>
      <c r="E33" s="62"/>
      <c r="F33" s="62"/>
      <c r="G33" s="62"/>
      <c r="H33" s="27"/>
      <c r="I33" s="27"/>
      <c r="J33" s="27"/>
      <c r="K33" s="27"/>
      <c r="L33" s="27"/>
      <c r="M33" s="27"/>
      <c r="N33" s="27"/>
      <c r="O33" s="27"/>
      <c r="P33" s="27"/>
      <c r="Q33" s="27"/>
      <c r="R33" s="27"/>
      <c r="S33" s="27"/>
      <c r="T33" s="27"/>
      <c r="U33" s="27"/>
    </row>
    <row r="34" spans="2:21">
      <c r="B34" s="31"/>
      <c r="C34" s="79"/>
      <c r="E34" s="62"/>
      <c r="F34" s="62"/>
      <c r="G34" s="62"/>
      <c r="H34" s="27"/>
      <c r="I34" s="27"/>
      <c r="J34" s="27"/>
      <c r="K34" s="27"/>
      <c r="L34" s="27"/>
    </row>
  </sheetData>
  <mergeCells count="4">
    <mergeCell ref="H3:K3"/>
    <mergeCell ref="O4:U4"/>
    <mergeCell ref="O5:U5"/>
    <mergeCell ref="O9:U9"/>
  </mergeCells>
  <pageMargins left="0.7" right="0.7" top="0.75" bottom="0.75" header="0.3" footer="0.3"/>
  <pageSetup scale="73"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79998168889431442"/>
    <pageSetUpPr fitToPage="1"/>
  </sheetPr>
  <dimension ref="A1:AD68"/>
  <sheetViews>
    <sheetView topLeftCell="G1" zoomScale="140" zoomScaleNormal="140" workbookViewId="0">
      <selection activeCell="O27" sqref="O27"/>
    </sheetView>
  </sheetViews>
  <sheetFormatPr defaultRowHeight="15"/>
  <cols>
    <col min="1" max="1" width="1.5703125" style="1" hidden="1" customWidth="1"/>
    <col min="2" max="2" width="25.5703125" style="1" hidden="1" customWidth="1"/>
    <col min="3" max="3" width="17.140625" style="1" hidden="1" customWidth="1"/>
    <col min="4" max="4" width="14" style="1" hidden="1" customWidth="1"/>
    <col min="5" max="5" width="13.5703125" style="1" hidden="1" customWidth="1"/>
    <col min="6" max="6" width="16.85546875" style="1" hidden="1" customWidth="1"/>
    <col min="7" max="7" width="8" style="1" customWidth="1"/>
    <col min="8" max="9" width="16.85546875" style="1" customWidth="1"/>
    <col min="10" max="10" width="14.42578125" style="1" customWidth="1"/>
    <col min="11" max="11" width="20.85546875" style="1" customWidth="1"/>
    <col min="12" max="12" width="16.85546875" style="1" customWidth="1"/>
    <col min="13" max="14" width="16.85546875" style="1" hidden="1" customWidth="1"/>
    <col min="15" max="15" width="10.42578125" style="1" hidden="1" customWidth="1"/>
    <col min="16" max="16" width="32.42578125" style="1" hidden="1" customWidth="1"/>
    <col min="17" max="17" width="0" style="1" hidden="1" customWidth="1"/>
    <col min="18" max="18" width="12.140625" style="1" hidden="1" customWidth="1"/>
    <col min="19" max="19" width="10.140625" style="1" hidden="1" customWidth="1"/>
    <col min="20" max="20" width="12.5703125" style="1" hidden="1" customWidth="1"/>
    <col min="21" max="21" width="10.42578125" style="1" hidden="1" customWidth="1"/>
    <col min="22" max="22" width="8.85546875" style="1"/>
    <col min="23" max="23" width="36" style="1" customWidth="1"/>
    <col min="24" max="24" width="12.42578125" style="1" bestFit="1" customWidth="1"/>
    <col min="25" max="264" width="8.85546875" style="1"/>
    <col min="265" max="265" width="25.5703125" style="1" customWidth="1"/>
    <col min="266" max="266" width="17.140625" style="1" customWidth="1"/>
    <col min="267" max="267" width="14" style="1" customWidth="1"/>
    <col min="268" max="268" width="13.5703125" style="1" customWidth="1"/>
    <col min="269" max="269" width="16.85546875" style="1" customWidth="1"/>
    <col min="270" max="520" width="8.85546875" style="1"/>
    <col min="521" max="521" width="25.5703125" style="1" customWidth="1"/>
    <col min="522" max="522" width="17.140625" style="1" customWidth="1"/>
    <col min="523" max="523" width="14" style="1" customWidth="1"/>
    <col min="524" max="524" width="13.5703125" style="1" customWidth="1"/>
    <col min="525" max="525" width="16.85546875" style="1" customWidth="1"/>
    <col min="526" max="776" width="8.85546875" style="1"/>
    <col min="777" max="777" width="25.5703125" style="1" customWidth="1"/>
    <col min="778" max="778" width="17.140625" style="1" customWidth="1"/>
    <col min="779" max="779" width="14" style="1" customWidth="1"/>
    <col min="780" max="780" width="13.5703125" style="1" customWidth="1"/>
    <col min="781" max="781" width="16.85546875" style="1" customWidth="1"/>
    <col min="782" max="1032" width="8.85546875" style="1"/>
    <col min="1033" max="1033" width="25.5703125" style="1" customWidth="1"/>
    <col min="1034" max="1034" width="17.140625" style="1" customWidth="1"/>
    <col min="1035" max="1035" width="14" style="1" customWidth="1"/>
    <col min="1036" max="1036" width="13.5703125" style="1" customWidth="1"/>
    <col min="1037" max="1037" width="16.85546875" style="1" customWidth="1"/>
    <col min="1038" max="1288" width="8.85546875" style="1"/>
    <col min="1289" max="1289" width="25.5703125" style="1" customWidth="1"/>
    <col min="1290" max="1290" width="17.140625" style="1" customWidth="1"/>
    <col min="1291" max="1291" width="14" style="1" customWidth="1"/>
    <col min="1292" max="1292" width="13.5703125" style="1" customWidth="1"/>
    <col min="1293" max="1293" width="16.85546875" style="1" customWidth="1"/>
    <col min="1294" max="1544" width="8.85546875" style="1"/>
    <col min="1545" max="1545" width="25.5703125" style="1" customWidth="1"/>
    <col min="1546" max="1546" width="17.140625" style="1" customWidth="1"/>
    <col min="1547" max="1547" width="14" style="1" customWidth="1"/>
    <col min="1548" max="1548" width="13.5703125" style="1" customWidth="1"/>
    <col min="1549" max="1549" width="16.85546875" style="1" customWidth="1"/>
    <col min="1550" max="1800" width="8.85546875" style="1"/>
    <col min="1801" max="1801" width="25.5703125" style="1" customWidth="1"/>
    <col min="1802" max="1802" width="17.140625" style="1" customWidth="1"/>
    <col min="1803" max="1803" width="14" style="1" customWidth="1"/>
    <col min="1804" max="1804" width="13.5703125" style="1" customWidth="1"/>
    <col min="1805" max="1805" width="16.85546875" style="1" customWidth="1"/>
    <col min="1806" max="2056" width="8.85546875" style="1"/>
    <col min="2057" max="2057" width="25.5703125" style="1" customWidth="1"/>
    <col min="2058" max="2058" width="17.140625" style="1" customWidth="1"/>
    <col min="2059" max="2059" width="14" style="1" customWidth="1"/>
    <col min="2060" max="2060" width="13.5703125" style="1" customWidth="1"/>
    <col min="2061" max="2061" width="16.85546875" style="1" customWidth="1"/>
    <col min="2062" max="2312" width="8.85546875" style="1"/>
    <col min="2313" max="2313" width="25.5703125" style="1" customWidth="1"/>
    <col min="2314" max="2314" width="17.140625" style="1" customWidth="1"/>
    <col min="2315" max="2315" width="14" style="1" customWidth="1"/>
    <col min="2316" max="2316" width="13.5703125" style="1" customWidth="1"/>
    <col min="2317" max="2317" width="16.85546875" style="1" customWidth="1"/>
    <col min="2318" max="2568" width="8.85546875" style="1"/>
    <col min="2569" max="2569" width="25.5703125" style="1" customWidth="1"/>
    <col min="2570" max="2570" width="17.140625" style="1" customWidth="1"/>
    <col min="2571" max="2571" width="14" style="1" customWidth="1"/>
    <col min="2572" max="2572" width="13.5703125" style="1" customWidth="1"/>
    <col min="2573" max="2573" width="16.85546875" style="1" customWidth="1"/>
    <col min="2574" max="2824" width="8.85546875" style="1"/>
    <col min="2825" max="2825" width="25.5703125" style="1" customWidth="1"/>
    <col min="2826" max="2826" width="17.140625" style="1" customWidth="1"/>
    <col min="2827" max="2827" width="14" style="1" customWidth="1"/>
    <col min="2828" max="2828" width="13.5703125" style="1" customWidth="1"/>
    <col min="2829" max="2829" width="16.85546875" style="1" customWidth="1"/>
    <col min="2830" max="3080" width="8.85546875" style="1"/>
    <col min="3081" max="3081" width="25.5703125" style="1" customWidth="1"/>
    <col min="3082" max="3082" width="17.140625" style="1" customWidth="1"/>
    <col min="3083" max="3083" width="14" style="1" customWidth="1"/>
    <col min="3084" max="3084" width="13.5703125" style="1" customWidth="1"/>
    <col min="3085" max="3085" width="16.85546875" style="1" customWidth="1"/>
    <col min="3086" max="3336" width="8.85546875" style="1"/>
    <col min="3337" max="3337" width="25.5703125" style="1" customWidth="1"/>
    <col min="3338" max="3338" width="17.140625" style="1" customWidth="1"/>
    <col min="3339" max="3339" width="14" style="1" customWidth="1"/>
    <col min="3340" max="3340" width="13.5703125" style="1" customWidth="1"/>
    <col min="3341" max="3341" width="16.85546875" style="1" customWidth="1"/>
    <col min="3342" max="3592" width="8.85546875" style="1"/>
    <col min="3593" max="3593" width="25.5703125" style="1" customWidth="1"/>
    <col min="3594" max="3594" width="17.140625" style="1" customWidth="1"/>
    <col min="3595" max="3595" width="14" style="1" customWidth="1"/>
    <col min="3596" max="3596" width="13.5703125" style="1" customWidth="1"/>
    <col min="3597" max="3597" width="16.85546875" style="1" customWidth="1"/>
    <col min="3598" max="3848" width="8.85546875" style="1"/>
    <col min="3849" max="3849" width="25.5703125" style="1" customWidth="1"/>
    <col min="3850" max="3850" width="17.140625" style="1" customWidth="1"/>
    <col min="3851" max="3851" width="14" style="1" customWidth="1"/>
    <col min="3852" max="3852" width="13.5703125" style="1" customWidth="1"/>
    <col min="3853" max="3853" width="16.85546875" style="1" customWidth="1"/>
    <col min="3854" max="4104" width="8.85546875" style="1"/>
    <col min="4105" max="4105" width="25.5703125" style="1" customWidth="1"/>
    <col min="4106" max="4106" width="17.140625" style="1" customWidth="1"/>
    <col min="4107" max="4107" width="14" style="1" customWidth="1"/>
    <col min="4108" max="4108" width="13.5703125" style="1" customWidth="1"/>
    <col min="4109" max="4109" width="16.85546875" style="1" customWidth="1"/>
    <col min="4110" max="4360" width="8.85546875" style="1"/>
    <col min="4361" max="4361" width="25.5703125" style="1" customWidth="1"/>
    <col min="4362" max="4362" width="17.140625" style="1" customWidth="1"/>
    <col min="4363" max="4363" width="14" style="1" customWidth="1"/>
    <col min="4364" max="4364" width="13.5703125" style="1" customWidth="1"/>
    <col min="4365" max="4365" width="16.85546875" style="1" customWidth="1"/>
    <col min="4366" max="4616" width="8.85546875" style="1"/>
    <col min="4617" max="4617" width="25.5703125" style="1" customWidth="1"/>
    <col min="4618" max="4618" width="17.140625" style="1" customWidth="1"/>
    <col min="4619" max="4619" width="14" style="1" customWidth="1"/>
    <col min="4620" max="4620" width="13.5703125" style="1" customWidth="1"/>
    <col min="4621" max="4621" width="16.85546875" style="1" customWidth="1"/>
    <col min="4622" max="4872" width="8.85546875" style="1"/>
    <col min="4873" max="4873" width="25.5703125" style="1" customWidth="1"/>
    <col min="4874" max="4874" width="17.140625" style="1" customWidth="1"/>
    <col min="4875" max="4875" width="14" style="1" customWidth="1"/>
    <col min="4876" max="4876" width="13.5703125" style="1" customWidth="1"/>
    <col min="4877" max="4877" width="16.85546875" style="1" customWidth="1"/>
    <col min="4878" max="5128" width="8.85546875" style="1"/>
    <col min="5129" max="5129" width="25.5703125" style="1" customWidth="1"/>
    <col min="5130" max="5130" width="17.140625" style="1" customWidth="1"/>
    <col min="5131" max="5131" width="14" style="1" customWidth="1"/>
    <col min="5132" max="5132" width="13.5703125" style="1" customWidth="1"/>
    <col min="5133" max="5133" width="16.85546875" style="1" customWidth="1"/>
    <col min="5134" max="5384" width="8.85546875" style="1"/>
    <col min="5385" max="5385" width="25.5703125" style="1" customWidth="1"/>
    <col min="5386" max="5386" width="17.140625" style="1" customWidth="1"/>
    <col min="5387" max="5387" width="14" style="1" customWidth="1"/>
    <col min="5388" max="5388" width="13.5703125" style="1" customWidth="1"/>
    <col min="5389" max="5389" width="16.85546875" style="1" customWidth="1"/>
    <col min="5390" max="5640" width="8.85546875" style="1"/>
    <col min="5641" max="5641" width="25.5703125" style="1" customWidth="1"/>
    <col min="5642" max="5642" width="17.140625" style="1" customWidth="1"/>
    <col min="5643" max="5643" width="14" style="1" customWidth="1"/>
    <col min="5644" max="5644" width="13.5703125" style="1" customWidth="1"/>
    <col min="5645" max="5645" width="16.85546875" style="1" customWidth="1"/>
    <col min="5646" max="5896" width="8.85546875" style="1"/>
    <col min="5897" max="5897" width="25.5703125" style="1" customWidth="1"/>
    <col min="5898" max="5898" width="17.140625" style="1" customWidth="1"/>
    <col min="5899" max="5899" width="14" style="1" customWidth="1"/>
    <col min="5900" max="5900" width="13.5703125" style="1" customWidth="1"/>
    <col min="5901" max="5901" width="16.85546875" style="1" customWidth="1"/>
    <col min="5902" max="6152" width="8.85546875" style="1"/>
    <col min="6153" max="6153" width="25.5703125" style="1" customWidth="1"/>
    <col min="6154" max="6154" width="17.140625" style="1" customWidth="1"/>
    <col min="6155" max="6155" width="14" style="1" customWidth="1"/>
    <col min="6156" max="6156" width="13.5703125" style="1" customWidth="1"/>
    <col min="6157" max="6157" width="16.85546875" style="1" customWidth="1"/>
    <col min="6158" max="6408" width="8.85546875" style="1"/>
    <col min="6409" max="6409" width="25.5703125" style="1" customWidth="1"/>
    <col min="6410" max="6410" width="17.140625" style="1" customWidth="1"/>
    <col min="6411" max="6411" width="14" style="1" customWidth="1"/>
    <col min="6412" max="6412" width="13.5703125" style="1" customWidth="1"/>
    <col min="6413" max="6413" width="16.85546875" style="1" customWidth="1"/>
    <col min="6414" max="6664" width="8.85546875" style="1"/>
    <col min="6665" max="6665" width="25.5703125" style="1" customWidth="1"/>
    <col min="6666" max="6666" width="17.140625" style="1" customWidth="1"/>
    <col min="6667" max="6667" width="14" style="1" customWidth="1"/>
    <col min="6668" max="6668" width="13.5703125" style="1" customWidth="1"/>
    <col min="6669" max="6669" width="16.85546875" style="1" customWidth="1"/>
    <col min="6670" max="6920" width="8.85546875" style="1"/>
    <col min="6921" max="6921" width="25.5703125" style="1" customWidth="1"/>
    <col min="6922" max="6922" width="17.140625" style="1" customWidth="1"/>
    <col min="6923" max="6923" width="14" style="1" customWidth="1"/>
    <col min="6924" max="6924" width="13.5703125" style="1" customWidth="1"/>
    <col min="6925" max="6925" width="16.85546875" style="1" customWidth="1"/>
    <col min="6926" max="7176" width="8.85546875" style="1"/>
    <col min="7177" max="7177" width="25.5703125" style="1" customWidth="1"/>
    <col min="7178" max="7178" width="17.140625" style="1" customWidth="1"/>
    <col min="7179" max="7179" width="14" style="1" customWidth="1"/>
    <col min="7180" max="7180" width="13.5703125" style="1" customWidth="1"/>
    <col min="7181" max="7181" width="16.85546875" style="1" customWidth="1"/>
    <col min="7182" max="7432" width="8.85546875" style="1"/>
    <col min="7433" max="7433" width="25.5703125" style="1" customWidth="1"/>
    <col min="7434" max="7434" width="17.140625" style="1" customWidth="1"/>
    <col min="7435" max="7435" width="14" style="1" customWidth="1"/>
    <col min="7436" max="7436" width="13.5703125" style="1" customWidth="1"/>
    <col min="7437" max="7437" width="16.85546875" style="1" customWidth="1"/>
    <col min="7438" max="7688" width="8.85546875" style="1"/>
    <col min="7689" max="7689" width="25.5703125" style="1" customWidth="1"/>
    <col min="7690" max="7690" width="17.140625" style="1" customWidth="1"/>
    <col min="7691" max="7691" width="14" style="1" customWidth="1"/>
    <col min="7692" max="7692" width="13.5703125" style="1" customWidth="1"/>
    <col min="7693" max="7693" width="16.85546875" style="1" customWidth="1"/>
    <col min="7694" max="7944" width="8.85546875" style="1"/>
    <col min="7945" max="7945" width="25.5703125" style="1" customWidth="1"/>
    <col min="7946" max="7946" width="17.140625" style="1" customWidth="1"/>
    <col min="7947" max="7947" width="14" style="1" customWidth="1"/>
    <col min="7948" max="7948" width="13.5703125" style="1" customWidth="1"/>
    <col min="7949" max="7949" width="16.85546875" style="1" customWidth="1"/>
    <col min="7950" max="8200" width="8.85546875" style="1"/>
    <col min="8201" max="8201" width="25.5703125" style="1" customWidth="1"/>
    <col min="8202" max="8202" width="17.140625" style="1" customWidth="1"/>
    <col min="8203" max="8203" width="14" style="1" customWidth="1"/>
    <col min="8204" max="8204" width="13.5703125" style="1" customWidth="1"/>
    <col min="8205" max="8205" width="16.85546875" style="1" customWidth="1"/>
    <col min="8206" max="8456" width="8.85546875" style="1"/>
    <col min="8457" max="8457" width="25.5703125" style="1" customWidth="1"/>
    <col min="8458" max="8458" width="17.140625" style="1" customWidth="1"/>
    <col min="8459" max="8459" width="14" style="1" customWidth="1"/>
    <col min="8460" max="8460" width="13.5703125" style="1" customWidth="1"/>
    <col min="8461" max="8461" width="16.85546875" style="1" customWidth="1"/>
    <col min="8462" max="8712" width="8.85546875" style="1"/>
    <col min="8713" max="8713" width="25.5703125" style="1" customWidth="1"/>
    <col min="8714" max="8714" width="17.140625" style="1" customWidth="1"/>
    <col min="8715" max="8715" width="14" style="1" customWidth="1"/>
    <col min="8716" max="8716" width="13.5703125" style="1" customWidth="1"/>
    <col min="8717" max="8717" width="16.85546875" style="1" customWidth="1"/>
    <col min="8718" max="8968" width="8.85546875" style="1"/>
    <col min="8969" max="8969" width="25.5703125" style="1" customWidth="1"/>
    <col min="8970" max="8970" width="17.140625" style="1" customWidth="1"/>
    <col min="8971" max="8971" width="14" style="1" customWidth="1"/>
    <col min="8972" max="8972" width="13.5703125" style="1" customWidth="1"/>
    <col min="8973" max="8973" width="16.85546875" style="1" customWidth="1"/>
    <col min="8974" max="9224" width="8.85546875" style="1"/>
    <col min="9225" max="9225" width="25.5703125" style="1" customWidth="1"/>
    <col min="9226" max="9226" width="17.140625" style="1" customWidth="1"/>
    <col min="9227" max="9227" width="14" style="1" customWidth="1"/>
    <col min="9228" max="9228" width="13.5703125" style="1" customWidth="1"/>
    <col min="9229" max="9229" width="16.85546875" style="1" customWidth="1"/>
    <col min="9230" max="9480" width="8.85546875" style="1"/>
    <col min="9481" max="9481" width="25.5703125" style="1" customWidth="1"/>
    <col min="9482" max="9482" width="17.140625" style="1" customWidth="1"/>
    <col min="9483" max="9483" width="14" style="1" customWidth="1"/>
    <col min="9484" max="9484" width="13.5703125" style="1" customWidth="1"/>
    <col min="9485" max="9485" width="16.85546875" style="1" customWidth="1"/>
    <col min="9486" max="9736" width="8.85546875" style="1"/>
    <col min="9737" max="9737" width="25.5703125" style="1" customWidth="1"/>
    <col min="9738" max="9738" width="17.140625" style="1" customWidth="1"/>
    <col min="9739" max="9739" width="14" style="1" customWidth="1"/>
    <col min="9740" max="9740" width="13.5703125" style="1" customWidth="1"/>
    <col min="9741" max="9741" width="16.85546875" style="1" customWidth="1"/>
    <col min="9742" max="9992" width="8.85546875" style="1"/>
    <col min="9993" max="9993" width="25.5703125" style="1" customWidth="1"/>
    <col min="9994" max="9994" width="17.140625" style="1" customWidth="1"/>
    <col min="9995" max="9995" width="14" style="1" customWidth="1"/>
    <col min="9996" max="9996" width="13.5703125" style="1" customWidth="1"/>
    <col min="9997" max="9997" width="16.85546875" style="1" customWidth="1"/>
    <col min="9998" max="10248" width="8.85546875" style="1"/>
    <col min="10249" max="10249" width="25.5703125" style="1" customWidth="1"/>
    <col min="10250" max="10250" width="17.140625" style="1" customWidth="1"/>
    <col min="10251" max="10251" width="14" style="1" customWidth="1"/>
    <col min="10252" max="10252" width="13.5703125" style="1" customWidth="1"/>
    <col min="10253" max="10253" width="16.85546875" style="1" customWidth="1"/>
    <col min="10254" max="10504" width="8.85546875" style="1"/>
    <col min="10505" max="10505" width="25.5703125" style="1" customWidth="1"/>
    <col min="10506" max="10506" width="17.140625" style="1" customWidth="1"/>
    <col min="10507" max="10507" width="14" style="1" customWidth="1"/>
    <col min="10508" max="10508" width="13.5703125" style="1" customWidth="1"/>
    <col min="10509" max="10509" width="16.85546875" style="1" customWidth="1"/>
    <col min="10510" max="10760" width="8.85546875" style="1"/>
    <col min="10761" max="10761" width="25.5703125" style="1" customWidth="1"/>
    <col min="10762" max="10762" width="17.140625" style="1" customWidth="1"/>
    <col min="10763" max="10763" width="14" style="1" customWidth="1"/>
    <col min="10764" max="10764" width="13.5703125" style="1" customWidth="1"/>
    <col min="10765" max="10765" width="16.85546875" style="1" customWidth="1"/>
    <col min="10766" max="11016" width="8.85546875" style="1"/>
    <col min="11017" max="11017" width="25.5703125" style="1" customWidth="1"/>
    <col min="11018" max="11018" width="17.140625" style="1" customWidth="1"/>
    <col min="11019" max="11019" width="14" style="1" customWidth="1"/>
    <col min="11020" max="11020" width="13.5703125" style="1" customWidth="1"/>
    <col min="11021" max="11021" width="16.85546875" style="1" customWidth="1"/>
    <col min="11022" max="11272" width="8.85546875" style="1"/>
    <col min="11273" max="11273" width="25.5703125" style="1" customWidth="1"/>
    <col min="11274" max="11274" width="17.140625" style="1" customWidth="1"/>
    <col min="11275" max="11275" width="14" style="1" customWidth="1"/>
    <col min="11276" max="11276" width="13.5703125" style="1" customWidth="1"/>
    <col min="11277" max="11277" width="16.85546875" style="1" customWidth="1"/>
    <col min="11278" max="11528" width="8.85546875" style="1"/>
    <col min="11529" max="11529" width="25.5703125" style="1" customWidth="1"/>
    <col min="11530" max="11530" width="17.140625" style="1" customWidth="1"/>
    <col min="11531" max="11531" width="14" style="1" customWidth="1"/>
    <col min="11532" max="11532" width="13.5703125" style="1" customWidth="1"/>
    <col min="11533" max="11533" width="16.85546875" style="1" customWidth="1"/>
    <col min="11534" max="11784" width="8.85546875" style="1"/>
    <col min="11785" max="11785" width="25.5703125" style="1" customWidth="1"/>
    <col min="11786" max="11786" width="17.140625" style="1" customWidth="1"/>
    <col min="11787" max="11787" width="14" style="1" customWidth="1"/>
    <col min="11788" max="11788" width="13.5703125" style="1" customWidth="1"/>
    <col min="11789" max="11789" width="16.85546875" style="1" customWidth="1"/>
    <col min="11790" max="12040" width="8.85546875" style="1"/>
    <col min="12041" max="12041" width="25.5703125" style="1" customWidth="1"/>
    <col min="12042" max="12042" width="17.140625" style="1" customWidth="1"/>
    <col min="12043" max="12043" width="14" style="1" customWidth="1"/>
    <col min="12044" max="12044" width="13.5703125" style="1" customWidth="1"/>
    <col min="12045" max="12045" width="16.85546875" style="1" customWidth="1"/>
    <col min="12046" max="12296" width="8.85546875" style="1"/>
    <col min="12297" max="12297" width="25.5703125" style="1" customWidth="1"/>
    <col min="12298" max="12298" width="17.140625" style="1" customWidth="1"/>
    <col min="12299" max="12299" width="14" style="1" customWidth="1"/>
    <col min="12300" max="12300" width="13.5703125" style="1" customWidth="1"/>
    <col min="12301" max="12301" width="16.85546875" style="1" customWidth="1"/>
    <col min="12302" max="12552" width="8.85546875" style="1"/>
    <col min="12553" max="12553" width="25.5703125" style="1" customWidth="1"/>
    <col min="12554" max="12554" width="17.140625" style="1" customWidth="1"/>
    <col min="12555" max="12555" width="14" style="1" customWidth="1"/>
    <col min="12556" max="12556" width="13.5703125" style="1" customWidth="1"/>
    <col min="12557" max="12557" width="16.85546875" style="1" customWidth="1"/>
    <col min="12558" max="12808" width="8.85546875" style="1"/>
    <col min="12809" max="12809" width="25.5703125" style="1" customWidth="1"/>
    <col min="12810" max="12810" width="17.140625" style="1" customWidth="1"/>
    <col min="12811" max="12811" width="14" style="1" customWidth="1"/>
    <col min="12812" max="12812" width="13.5703125" style="1" customWidth="1"/>
    <col min="12813" max="12813" width="16.85546875" style="1" customWidth="1"/>
    <col min="12814" max="13064" width="8.85546875" style="1"/>
    <col min="13065" max="13065" width="25.5703125" style="1" customWidth="1"/>
    <col min="13066" max="13066" width="17.140625" style="1" customWidth="1"/>
    <col min="13067" max="13067" width="14" style="1" customWidth="1"/>
    <col min="13068" max="13068" width="13.5703125" style="1" customWidth="1"/>
    <col min="13069" max="13069" width="16.85546875" style="1" customWidth="1"/>
    <col min="13070" max="13320" width="8.85546875" style="1"/>
    <col min="13321" max="13321" width="25.5703125" style="1" customWidth="1"/>
    <col min="13322" max="13322" width="17.140625" style="1" customWidth="1"/>
    <col min="13323" max="13323" width="14" style="1" customWidth="1"/>
    <col min="13324" max="13324" width="13.5703125" style="1" customWidth="1"/>
    <col min="13325" max="13325" width="16.85546875" style="1" customWidth="1"/>
    <col min="13326" max="13576" width="8.85546875" style="1"/>
    <col min="13577" max="13577" width="25.5703125" style="1" customWidth="1"/>
    <col min="13578" max="13578" width="17.140625" style="1" customWidth="1"/>
    <col min="13579" max="13579" width="14" style="1" customWidth="1"/>
    <col min="13580" max="13580" width="13.5703125" style="1" customWidth="1"/>
    <col min="13581" max="13581" width="16.85546875" style="1" customWidth="1"/>
    <col min="13582" max="13832" width="8.85546875" style="1"/>
    <col min="13833" max="13833" width="25.5703125" style="1" customWidth="1"/>
    <col min="13834" max="13834" width="17.140625" style="1" customWidth="1"/>
    <col min="13835" max="13835" width="14" style="1" customWidth="1"/>
    <col min="13836" max="13836" width="13.5703125" style="1" customWidth="1"/>
    <col min="13837" max="13837" width="16.85546875" style="1" customWidth="1"/>
    <col min="13838" max="14088" width="8.85546875" style="1"/>
    <col min="14089" max="14089" width="25.5703125" style="1" customWidth="1"/>
    <col min="14090" max="14090" width="17.140625" style="1" customWidth="1"/>
    <col min="14091" max="14091" width="14" style="1" customWidth="1"/>
    <col min="14092" max="14092" width="13.5703125" style="1" customWidth="1"/>
    <col min="14093" max="14093" width="16.85546875" style="1" customWidth="1"/>
    <col min="14094" max="14344" width="8.85546875" style="1"/>
    <col min="14345" max="14345" width="25.5703125" style="1" customWidth="1"/>
    <col min="14346" max="14346" width="17.140625" style="1" customWidth="1"/>
    <col min="14347" max="14347" width="14" style="1" customWidth="1"/>
    <col min="14348" max="14348" width="13.5703125" style="1" customWidth="1"/>
    <col min="14349" max="14349" width="16.85546875" style="1" customWidth="1"/>
    <col min="14350" max="14600" width="8.85546875" style="1"/>
    <col min="14601" max="14601" width="25.5703125" style="1" customWidth="1"/>
    <col min="14602" max="14602" width="17.140625" style="1" customWidth="1"/>
    <col min="14603" max="14603" width="14" style="1" customWidth="1"/>
    <col min="14604" max="14604" width="13.5703125" style="1" customWidth="1"/>
    <col min="14605" max="14605" width="16.85546875" style="1" customWidth="1"/>
    <col min="14606" max="14856" width="8.85546875" style="1"/>
    <col min="14857" max="14857" width="25.5703125" style="1" customWidth="1"/>
    <col min="14858" max="14858" width="17.140625" style="1" customWidth="1"/>
    <col min="14859" max="14859" width="14" style="1" customWidth="1"/>
    <col min="14860" max="14860" width="13.5703125" style="1" customWidth="1"/>
    <col min="14861" max="14861" width="16.85546875" style="1" customWidth="1"/>
    <col min="14862" max="15112" width="8.85546875" style="1"/>
    <col min="15113" max="15113" width="25.5703125" style="1" customWidth="1"/>
    <col min="15114" max="15114" width="17.140625" style="1" customWidth="1"/>
    <col min="15115" max="15115" width="14" style="1" customWidth="1"/>
    <col min="15116" max="15116" width="13.5703125" style="1" customWidth="1"/>
    <col min="15117" max="15117" width="16.85546875" style="1" customWidth="1"/>
    <col min="15118" max="15368" width="8.85546875" style="1"/>
    <col min="15369" max="15369" width="25.5703125" style="1" customWidth="1"/>
    <col min="15370" max="15370" width="17.140625" style="1" customWidth="1"/>
    <col min="15371" max="15371" width="14" style="1" customWidth="1"/>
    <col min="15372" max="15372" width="13.5703125" style="1" customWidth="1"/>
    <col min="15373" max="15373" width="16.85546875" style="1" customWidth="1"/>
    <col min="15374" max="15624" width="8.85546875" style="1"/>
    <col min="15625" max="15625" width="25.5703125" style="1" customWidth="1"/>
    <col min="15626" max="15626" width="17.140625" style="1" customWidth="1"/>
    <col min="15627" max="15627" width="14" style="1" customWidth="1"/>
    <col min="15628" max="15628" width="13.5703125" style="1" customWidth="1"/>
    <col min="15629" max="15629" width="16.85546875" style="1" customWidth="1"/>
    <col min="15630" max="15880" width="8.85546875" style="1"/>
    <col min="15881" max="15881" width="25.5703125" style="1" customWidth="1"/>
    <col min="15882" max="15882" width="17.140625" style="1" customWidth="1"/>
    <col min="15883" max="15883" width="14" style="1" customWidth="1"/>
    <col min="15884" max="15884" width="13.5703125" style="1" customWidth="1"/>
    <col min="15885" max="15885" width="16.85546875" style="1" customWidth="1"/>
    <col min="15886" max="16136" width="8.85546875" style="1"/>
    <col min="16137" max="16137" width="25.5703125" style="1" customWidth="1"/>
    <col min="16138" max="16138" width="17.140625" style="1" customWidth="1"/>
    <col min="16139" max="16139" width="14" style="1" customWidth="1"/>
    <col min="16140" max="16140" width="13.5703125" style="1" customWidth="1"/>
    <col min="16141" max="16141" width="16.85546875" style="1" customWidth="1"/>
    <col min="16142" max="16384" width="8.85546875" style="1"/>
  </cols>
  <sheetData>
    <row r="1" spans="1:30">
      <c r="A1" s="27"/>
      <c r="B1" s="24" t="s">
        <v>396</v>
      </c>
      <c r="C1" s="24"/>
      <c r="D1" s="221"/>
      <c r="E1" s="221"/>
      <c r="F1" s="221"/>
      <c r="G1" s="27"/>
      <c r="H1" s="27"/>
      <c r="I1" s="27"/>
      <c r="J1" s="27"/>
      <c r="K1" s="27"/>
      <c r="L1" s="27"/>
      <c r="M1" s="27"/>
      <c r="N1" s="27"/>
      <c r="O1" s="27"/>
      <c r="P1" s="9" t="s">
        <v>396</v>
      </c>
      <c r="Q1" s="27"/>
      <c r="R1" s="27"/>
      <c r="S1" s="27"/>
      <c r="T1" s="27"/>
      <c r="U1" s="27"/>
      <c r="V1" s="27"/>
      <c r="W1" s="27"/>
      <c r="X1" s="27"/>
      <c r="Y1" s="27"/>
      <c r="Z1" s="27"/>
      <c r="AA1" s="27"/>
      <c r="AB1" s="27"/>
      <c r="AC1" s="27"/>
      <c r="AD1" s="27"/>
    </row>
    <row r="2" spans="1:30" ht="15.75" thickBot="1">
      <c r="A2" s="27"/>
      <c r="B2" s="221" t="s">
        <v>354</v>
      </c>
      <c r="C2" s="221"/>
      <c r="D2" s="221"/>
      <c r="E2" s="221"/>
      <c r="F2" s="221"/>
      <c r="G2" s="27"/>
      <c r="H2" s="26">
        <v>44342</v>
      </c>
      <c r="I2" s="27"/>
      <c r="J2" s="27"/>
      <c r="K2" s="27"/>
      <c r="L2" s="27"/>
      <c r="M2" s="27"/>
      <c r="N2" s="27"/>
      <c r="O2" s="27"/>
      <c r="P2" s="27" t="s">
        <v>354</v>
      </c>
      <c r="Q2" s="27"/>
      <c r="R2" s="27"/>
      <c r="S2" s="27"/>
      <c r="T2" s="27"/>
      <c r="U2" s="27"/>
      <c r="V2" s="27"/>
      <c r="W2" s="27"/>
      <c r="X2" s="27"/>
      <c r="Y2" s="27"/>
      <c r="Z2" s="27"/>
      <c r="AA2" s="27"/>
      <c r="AB2" s="27"/>
      <c r="AC2" s="27"/>
      <c r="AD2" s="27"/>
    </row>
    <row r="3" spans="1:30" ht="15.75" thickBot="1">
      <c r="A3" s="27"/>
      <c r="B3" s="221"/>
      <c r="C3" s="221"/>
      <c r="D3" s="221"/>
      <c r="E3" s="221"/>
      <c r="F3" s="221"/>
      <c r="G3" s="27"/>
      <c r="H3" s="1201" t="s">
        <v>396</v>
      </c>
      <c r="I3" s="1202"/>
      <c r="J3" s="1202"/>
      <c r="K3" s="1202"/>
      <c r="L3" s="1203"/>
      <c r="M3" s="27"/>
      <c r="N3" s="27"/>
      <c r="O3" s="27"/>
      <c r="P3" s="27"/>
      <c r="Q3" s="27"/>
      <c r="R3" s="27"/>
      <c r="S3" s="27"/>
      <c r="T3" s="27"/>
      <c r="U3" s="27"/>
      <c r="V3" s="27"/>
      <c r="W3" s="1159" t="s">
        <v>356</v>
      </c>
      <c r="X3" s="1160"/>
      <c r="Y3" s="1160"/>
      <c r="Z3" s="1160"/>
      <c r="AA3" s="1160"/>
      <c r="AB3" s="1161"/>
      <c r="AC3" s="27"/>
      <c r="AD3" s="27"/>
    </row>
    <row r="4" spans="1:30" ht="15.75" thickBot="1">
      <c r="A4" s="27"/>
      <c r="B4" s="222" t="s">
        <v>397</v>
      </c>
      <c r="C4" s="223"/>
      <c r="D4" s="223"/>
      <c r="E4" s="223"/>
      <c r="F4" s="224"/>
      <c r="G4" s="21"/>
      <c r="H4" s="32" t="s">
        <v>397</v>
      </c>
      <c r="I4" s="33"/>
      <c r="J4" s="33">
        <v>11</v>
      </c>
      <c r="K4" s="33"/>
      <c r="L4" s="34"/>
      <c r="M4" s="21"/>
      <c r="N4" s="21"/>
      <c r="O4" s="27"/>
      <c r="P4" s="225" t="s">
        <v>398</v>
      </c>
      <c r="Q4" s="226">
        <v>15</v>
      </c>
      <c r="R4" s="227" t="s">
        <v>399</v>
      </c>
      <c r="S4" s="228"/>
      <c r="T4" s="229">
        <v>12</v>
      </c>
      <c r="U4" s="27">
        <f>T4*Q4</f>
        <v>180</v>
      </c>
      <c r="V4" s="27"/>
      <c r="W4" s="1193" t="s">
        <v>357</v>
      </c>
      <c r="X4" s="1194"/>
      <c r="Y4" s="1194"/>
      <c r="Z4" s="1194"/>
      <c r="AA4" s="1194"/>
      <c r="AB4" s="1195"/>
      <c r="AC4" s="27"/>
      <c r="AD4" s="27"/>
    </row>
    <row r="5" spans="1:30" ht="15.75" thickBot="1">
      <c r="A5" s="27"/>
      <c r="B5" s="230"/>
      <c r="C5" s="231"/>
      <c r="D5" s="231"/>
      <c r="E5" s="231"/>
      <c r="F5" s="232"/>
      <c r="G5" s="21"/>
      <c r="H5" s="7"/>
      <c r="I5" s="21"/>
      <c r="J5" s="21"/>
      <c r="K5" s="21"/>
      <c r="L5" s="38"/>
      <c r="M5" s="21"/>
      <c r="N5" s="21"/>
      <c r="O5" s="27"/>
      <c r="P5" s="2"/>
      <c r="Q5" s="21"/>
      <c r="R5" s="27"/>
      <c r="S5" s="27"/>
      <c r="T5" s="73"/>
      <c r="U5" s="27"/>
      <c r="V5" s="27"/>
      <c r="W5" s="233" t="s">
        <v>388</v>
      </c>
      <c r="X5" s="234" t="e">
        <f>#REF!</f>
        <v>#REF!</v>
      </c>
      <c r="Y5" s="204" t="s">
        <v>358</v>
      </c>
      <c r="Z5" s="179"/>
      <c r="AA5" s="179"/>
      <c r="AB5" s="235"/>
      <c r="AC5" s="27"/>
      <c r="AD5" s="27"/>
    </row>
    <row r="6" spans="1:30" ht="15.75" thickBot="1">
      <c r="A6" s="27"/>
      <c r="B6" s="230"/>
      <c r="C6" s="231"/>
      <c r="D6" s="24" t="s">
        <v>299</v>
      </c>
      <c r="E6" s="24" t="s">
        <v>300</v>
      </c>
      <c r="F6" s="236" t="s">
        <v>301</v>
      </c>
      <c r="G6" s="9"/>
      <c r="H6" s="42"/>
      <c r="I6" s="43"/>
      <c r="J6" s="43" t="s">
        <v>299</v>
      </c>
      <c r="K6" s="44" t="s">
        <v>300</v>
      </c>
      <c r="L6" s="45" t="s">
        <v>301</v>
      </c>
      <c r="M6" s="9"/>
      <c r="N6" s="9"/>
      <c r="O6" s="27"/>
      <c r="P6" s="110"/>
      <c r="Q6" s="21"/>
      <c r="R6" s="9" t="s">
        <v>299</v>
      </c>
      <c r="S6" s="9" t="s">
        <v>300</v>
      </c>
      <c r="T6" s="237" t="s">
        <v>301</v>
      </c>
      <c r="U6" s="27"/>
      <c r="V6" s="27"/>
      <c r="W6" s="110" t="s">
        <v>360</v>
      </c>
      <c r="X6" s="238" t="e">
        <f>#REF!</f>
        <v>#REF!</v>
      </c>
      <c r="Y6" s="70" t="s">
        <v>361</v>
      </c>
      <c r="Z6" s="105"/>
      <c r="AA6" s="105"/>
      <c r="AB6" s="154"/>
      <c r="AC6" s="27"/>
      <c r="AD6" s="27"/>
    </row>
    <row r="7" spans="1:30" ht="15.75" thickBot="1">
      <c r="A7" s="27"/>
      <c r="B7" s="230" t="s">
        <v>359</v>
      </c>
      <c r="C7" s="231"/>
      <c r="D7" s="239">
        <v>52564.428772849235</v>
      </c>
      <c r="E7" s="231">
        <v>0.01</v>
      </c>
      <c r="F7" s="240">
        <v>525.64428772849237</v>
      </c>
      <c r="G7" s="50"/>
      <c r="H7" s="49" t="str">
        <f>W5</f>
        <v>Management</v>
      </c>
      <c r="I7" s="50"/>
      <c r="J7" s="50" t="e">
        <f>X5</f>
        <v>#REF!</v>
      </c>
      <c r="K7" s="51">
        <f>E7</f>
        <v>0.01</v>
      </c>
      <c r="L7" s="52" t="e">
        <f>K7*J7</f>
        <v>#REF!</v>
      </c>
      <c r="M7" s="50"/>
      <c r="N7" s="50"/>
      <c r="O7" s="27"/>
      <c r="P7" s="110" t="s">
        <v>400</v>
      </c>
      <c r="Q7" s="21"/>
      <c r="R7" s="50" t="e">
        <f>X5</f>
        <v>#REF!</v>
      </c>
      <c r="S7" s="21">
        <v>0.01</v>
      </c>
      <c r="T7" s="241" t="e">
        <f>R7*S7</f>
        <v>#REF!</v>
      </c>
      <c r="U7" s="27"/>
      <c r="V7" s="27"/>
      <c r="W7" s="163" t="s">
        <v>389</v>
      </c>
      <c r="X7" s="242" t="e">
        <f>#REF!</f>
        <v>#REF!</v>
      </c>
      <c r="Y7" s="206" t="s">
        <v>363</v>
      </c>
      <c r="Z7" s="243"/>
      <c r="AA7" s="243"/>
      <c r="AB7" s="244"/>
      <c r="AC7" s="27"/>
      <c r="AD7" s="27"/>
    </row>
    <row r="8" spans="1:30" ht="15.75" thickBot="1">
      <c r="A8" s="27"/>
      <c r="B8" s="230" t="s">
        <v>362</v>
      </c>
      <c r="C8" s="231"/>
      <c r="D8" s="239">
        <v>47000</v>
      </c>
      <c r="E8" s="231">
        <v>0.19</v>
      </c>
      <c r="F8" s="240">
        <v>8930</v>
      </c>
      <c r="G8" s="50"/>
      <c r="H8" s="49" t="s">
        <v>360</v>
      </c>
      <c r="I8" s="50"/>
      <c r="J8" s="50" t="e">
        <f>X6</f>
        <v>#REF!</v>
      </c>
      <c r="K8" s="51">
        <v>0.09</v>
      </c>
      <c r="L8" s="52" t="e">
        <f>K8*J8</f>
        <v>#REF!</v>
      </c>
      <c r="M8" s="50"/>
      <c r="N8" s="50"/>
      <c r="O8" s="27"/>
      <c r="P8" s="110"/>
      <c r="Q8" s="21"/>
      <c r="R8" s="50"/>
      <c r="S8" s="21"/>
      <c r="T8" s="241"/>
      <c r="U8" s="27"/>
      <c r="V8" s="27"/>
      <c r="W8" s="1185" t="s">
        <v>325</v>
      </c>
      <c r="X8" s="1186"/>
      <c r="Y8" s="1186"/>
      <c r="Z8" s="1186"/>
      <c r="AA8" s="1186"/>
      <c r="AB8" s="1187"/>
      <c r="AC8" s="27"/>
      <c r="AD8" s="27"/>
    </row>
    <row r="9" spans="1:30" ht="15.75" thickBot="1">
      <c r="A9" s="27"/>
      <c r="B9" s="245" t="s">
        <v>364</v>
      </c>
      <c r="C9" s="246"/>
      <c r="D9" s="246"/>
      <c r="E9" s="247">
        <v>0.2</v>
      </c>
      <c r="F9" s="248">
        <v>9455.6442877284917</v>
      </c>
      <c r="G9" s="50"/>
      <c r="H9" s="49" t="str">
        <f>W7</f>
        <v>Direct Care</v>
      </c>
      <c r="I9" s="50"/>
      <c r="J9" s="50" t="e">
        <f>X7</f>
        <v>#REF!</v>
      </c>
      <c r="K9" s="51">
        <v>0.1</v>
      </c>
      <c r="L9" s="52" t="e">
        <f>K9*J9</f>
        <v>#REF!</v>
      </c>
      <c r="M9" s="50"/>
      <c r="N9" s="50"/>
      <c r="O9" s="27"/>
      <c r="P9" s="110" t="s">
        <v>401</v>
      </c>
      <c r="Q9" s="21"/>
      <c r="R9" s="50" t="e">
        <f>X7</f>
        <v>#REF!</v>
      </c>
      <c r="S9" s="21">
        <v>0.19</v>
      </c>
      <c r="T9" s="52" t="e">
        <f>R9*S9</f>
        <v>#REF!</v>
      </c>
      <c r="U9" s="27"/>
      <c r="V9" s="27"/>
      <c r="W9" s="110" t="s">
        <v>209</v>
      </c>
      <c r="X9" s="113">
        <v>5963.9694954316819</v>
      </c>
      <c r="Y9" s="204" t="s">
        <v>330</v>
      </c>
      <c r="Z9" s="105"/>
      <c r="AA9" s="105"/>
      <c r="AB9" s="154"/>
      <c r="AC9" s="27"/>
      <c r="AD9" s="27"/>
    </row>
    <row r="10" spans="1:30" ht="15.75" thickBot="1">
      <c r="A10" s="27"/>
      <c r="B10" s="230"/>
      <c r="C10" s="231"/>
      <c r="D10" s="231"/>
      <c r="E10" s="231"/>
      <c r="F10" s="232"/>
      <c r="G10" s="50"/>
      <c r="H10" s="57" t="s">
        <v>364</v>
      </c>
      <c r="I10" s="58"/>
      <c r="J10" s="58"/>
      <c r="K10" s="44">
        <v>0.2</v>
      </c>
      <c r="L10" s="59" t="e">
        <f>SUM(L7:L9)</f>
        <v>#REF!</v>
      </c>
      <c r="M10" s="50"/>
      <c r="N10" s="50"/>
      <c r="O10" s="114" t="e">
        <f>T10</f>
        <v>#REF!</v>
      </c>
      <c r="P10" s="3" t="s">
        <v>364</v>
      </c>
      <c r="Q10" s="249"/>
      <c r="R10" s="249"/>
      <c r="S10" s="250">
        <v>0.2</v>
      </c>
      <c r="T10" s="251" t="e">
        <f>SUM(T7:T9)</f>
        <v>#REF!</v>
      </c>
      <c r="U10" s="27"/>
      <c r="V10" s="27"/>
      <c r="W10" s="110" t="s">
        <v>214</v>
      </c>
      <c r="X10" s="113">
        <v>159.61973086509079</v>
      </c>
      <c r="Y10" s="70" t="s">
        <v>330</v>
      </c>
      <c r="Z10" s="27"/>
      <c r="AA10" s="27"/>
      <c r="AB10" s="73"/>
      <c r="AC10" s="27"/>
      <c r="AD10" s="27"/>
    </row>
    <row r="11" spans="1:30">
      <c r="A11" s="27"/>
      <c r="B11" s="230" t="s">
        <v>328</v>
      </c>
      <c r="C11" s="231"/>
      <c r="D11" s="231"/>
      <c r="E11" s="231"/>
      <c r="F11" s="232"/>
      <c r="G11" s="21"/>
      <c r="H11" s="7"/>
      <c r="I11" s="21"/>
      <c r="J11" s="21"/>
      <c r="K11" s="51"/>
      <c r="L11" s="38"/>
      <c r="M11" s="21"/>
      <c r="N11" s="21"/>
      <c r="O11" s="27"/>
      <c r="P11" s="7"/>
      <c r="Q11" s="21"/>
      <c r="R11" s="21"/>
      <c r="S11" s="21"/>
      <c r="T11" s="38"/>
      <c r="U11" s="27"/>
      <c r="V11" s="27"/>
      <c r="W11" s="110" t="s">
        <v>215</v>
      </c>
      <c r="X11" s="113">
        <v>1056.8783932396871</v>
      </c>
      <c r="Y11" s="70" t="s">
        <v>330</v>
      </c>
      <c r="Z11" s="27"/>
      <c r="AA11" s="27"/>
      <c r="AB11" s="73"/>
      <c r="AC11" s="27"/>
      <c r="AD11" s="27"/>
    </row>
    <row r="12" spans="1:30">
      <c r="A12" s="27"/>
      <c r="B12" s="230" t="s">
        <v>367</v>
      </c>
      <c r="C12" s="231"/>
      <c r="D12" s="252">
        <v>0.21590826871491237</v>
      </c>
      <c r="E12" s="252"/>
      <c r="F12" s="240">
        <v>2041.5517877475093</v>
      </c>
      <c r="G12" s="21"/>
      <c r="H12" s="7" t="s">
        <v>328</v>
      </c>
      <c r="I12" s="21"/>
      <c r="J12" s="21"/>
      <c r="K12" s="51"/>
      <c r="L12" s="38"/>
      <c r="M12" s="21"/>
      <c r="N12" s="21"/>
      <c r="O12" s="27"/>
      <c r="P12" s="7" t="s">
        <v>328</v>
      </c>
      <c r="Q12" s="21"/>
      <c r="R12" s="21"/>
      <c r="S12" s="21"/>
      <c r="T12" s="38"/>
      <c r="U12" s="27"/>
      <c r="V12" s="27"/>
      <c r="W12" s="110" t="s">
        <v>216</v>
      </c>
      <c r="X12" s="113">
        <v>659.46971027355744</v>
      </c>
      <c r="Y12" s="70" t="s">
        <v>330</v>
      </c>
      <c r="Z12" s="27"/>
      <c r="AA12" s="27"/>
      <c r="AB12" s="73"/>
      <c r="AC12" s="27"/>
      <c r="AD12" s="27"/>
    </row>
    <row r="13" spans="1:30" ht="15.75" thickBot="1">
      <c r="A13" s="27"/>
      <c r="B13" s="245" t="s">
        <v>331</v>
      </c>
      <c r="C13" s="246"/>
      <c r="D13" s="246"/>
      <c r="E13" s="246"/>
      <c r="F13" s="248">
        <v>11497.196075476</v>
      </c>
      <c r="G13" s="50"/>
      <c r="H13" s="49" t="s">
        <v>367</v>
      </c>
      <c r="I13" s="50"/>
      <c r="J13" s="61">
        <f>X18</f>
        <v>0.24199999999999999</v>
      </c>
      <c r="K13" s="51"/>
      <c r="L13" s="52" t="e">
        <f>J13*L10</f>
        <v>#REF!</v>
      </c>
      <c r="M13" s="50"/>
      <c r="N13" s="50"/>
      <c r="O13" s="162" t="e">
        <f>T13</f>
        <v>#REF!</v>
      </c>
      <c r="P13" s="7" t="s">
        <v>367</v>
      </c>
      <c r="Q13" s="21"/>
      <c r="R13" s="253">
        <f>X18</f>
        <v>0.24199999999999999</v>
      </c>
      <c r="S13" s="253"/>
      <c r="T13" s="241" t="e">
        <f>R13*T10</f>
        <v>#REF!</v>
      </c>
      <c r="U13" s="27"/>
      <c r="V13" s="27"/>
      <c r="W13" s="110" t="s">
        <v>217</v>
      </c>
      <c r="X13" s="113">
        <v>474.11060420697481</v>
      </c>
      <c r="Y13" s="70" t="s">
        <v>330</v>
      </c>
      <c r="Z13" s="27"/>
      <c r="AA13" s="27"/>
      <c r="AB13" s="73"/>
      <c r="AC13" s="27"/>
      <c r="AD13" s="27"/>
    </row>
    <row r="14" spans="1:30" ht="15.75" thickBot="1">
      <c r="A14" s="27"/>
      <c r="B14" s="230"/>
      <c r="C14" s="231"/>
      <c r="D14" s="231" t="s">
        <v>402</v>
      </c>
      <c r="E14" s="254" t="s">
        <v>403</v>
      </c>
      <c r="F14" s="232"/>
      <c r="G14" s="50"/>
      <c r="H14" s="57" t="s">
        <v>331</v>
      </c>
      <c r="I14" s="58"/>
      <c r="J14" s="58"/>
      <c r="K14" s="44"/>
      <c r="L14" s="59" t="e">
        <f>SUM(L10:L13)</f>
        <v>#REF!</v>
      </c>
      <c r="M14" s="50"/>
      <c r="N14" s="50"/>
      <c r="O14" s="114" t="e">
        <f>SUM(O10:O13)</f>
        <v>#REF!</v>
      </c>
      <c r="P14" s="3" t="s">
        <v>331</v>
      </c>
      <c r="Q14" s="249"/>
      <c r="R14" s="249"/>
      <c r="S14" s="249"/>
      <c r="T14" s="251" t="e">
        <f>T13+T10</f>
        <v>#REF!</v>
      </c>
      <c r="U14" s="27"/>
      <c r="V14" s="27"/>
      <c r="W14" s="110" t="s">
        <v>221</v>
      </c>
      <c r="X14" s="113">
        <v>1733.9343036087084</v>
      </c>
      <c r="Y14" s="70" t="s">
        <v>330</v>
      </c>
      <c r="Z14" s="27"/>
      <c r="AA14" s="27"/>
      <c r="AB14" s="73"/>
      <c r="AC14" s="27"/>
      <c r="AD14" s="27"/>
    </row>
    <row r="15" spans="1:30">
      <c r="A15" s="27"/>
      <c r="B15" s="230" t="s">
        <v>404</v>
      </c>
      <c r="C15" s="231"/>
      <c r="D15" s="231">
        <v>940</v>
      </c>
      <c r="E15" s="231">
        <v>5</v>
      </c>
      <c r="F15" s="240">
        <v>4700</v>
      </c>
      <c r="G15" s="21"/>
      <c r="H15" s="63"/>
      <c r="I15" s="64"/>
      <c r="J15" s="65"/>
      <c r="K15" s="66"/>
      <c r="L15" s="67"/>
      <c r="M15" s="21"/>
      <c r="N15" s="21"/>
      <c r="O15" s="27"/>
      <c r="P15" s="7"/>
      <c r="Q15" s="21"/>
      <c r="R15" s="21"/>
      <c r="S15" s="255"/>
      <c r="T15" s="38"/>
      <c r="U15" s="27"/>
      <c r="V15" s="27"/>
      <c r="W15" s="110" t="s">
        <v>225</v>
      </c>
      <c r="X15" s="113">
        <v>1347.3502436316674</v>
      </c>
      <c r="Y15" s="70" t="s">
        <v>330</v>
      </c>
      <c r="Z15" s="27"/>
      <c r="AA15" s="27"/>
      <c r="AB15" s="73"/>
      <c r="AC15" s="27"/>
      <c r="AD15" s="27"/>
    </row>
    <row r="16" spans="1:30">
      <c r="A16" s="27"/>
      <c r="B16" s="230"/>
      <c r="C16" s="231"/>
      <c r="D16" s="231"/>
      <c r="E16" s="231"/>
      <c r="F16" s="232"/>
      <c r="G16" s="50"/>
      <c r="H16" s="49" t="s">
        <v>209</v>
      </c>
      <c r="I16" s="50"/>
      <c r="J16" s="50"/>
      <c r="K16" s="51"/>
      <c r="L16" s="52">
        <f>X9</f>
        <v>5963.9694954316819</v>
      </c>
      <c r="M16" s="50"/>
      <c r="N16" s="50"/>
      <c r="O16" s="27"/>
      <c r="P16" s="7" t="s">
        <v>405</v>
      </c>
      <c r="Q16" s="21"/>
      <c r="R16" s="256">
        <f>X49</f>
        <v>553.31333333333339</v>
      </c>
      <c r="S16" s="21">
        <v>9</v>
      </c>
      <c r="T16" s="52">
        <f>S16*R16</f>
        <v>4979.8200000000006</v>
      </c>
      <c r="U16" s="27"/>
      <c r="V16" s="114">
        <f>SUM(L16:L22)</f>
        <v>11395.332481257366</v>
      </c>
      <c r="W16" s="110"/>
      <c r="X16" s="113"/>
      <c r="Y16" s="70"/>
      <c r="Z16" s="27"/>
      <c r="AA16" s="27"/>
      <c r="AB16" s="73"/>
      <c r="AC16" s="27"/>
      <c r="AD16" s="27"/>
    </row>
    <row r="17" spans="1:30">
      <c r="A17" s="27"/>
      <c r="B17" s="230" t="s">
        <v>370</v>
      </c>
      <c r="C17" s="231"/>
      <c r="D17" s="231" t="s">
        <v>507</v>
      </c>
      <c r="E17" s="231"/>
      <c r="F17" s="240">
        <v>1487.8947368421054</v>
      </c>
      <c r="G17" s="21"/>
      <c r="H17" s="7" t="s">
        <v>214</v>
      </c>
      <c r="I17" s="21"/>
      <c r="J17" s="21"/>
      <c r="K17" s="51"/>
      <c r="L17" s="52">
        <f t="shared" ref="L17:L22" si="0">X10</f>
        <v>159.61973086509079</v>
      </c>
      <c r="M17" s="21"/>
      <c r="N17" s="21"/>
      <c r="O17" s="27"/>
      <c r="P17" s="7" t="str">
        <f>W10</f>
        <v>Staff Training 204</v>
      </c>
      <c r="Q17" s="21"/>
      <c r="R17" s="257">
        <f>X10</f>
        <v>159.61973086509079</v>
      </c>
      <c r="S17" s="21"/>
      <c r="T17" s="52">
        <f>R17*X45</f>
        <v>2394.2959629763618</v>
      </c>
      <c r="U17" s="27"/>
      <c r="V17" s="27"/>
      <c r="W17" s="110"/>
      <c r="X17" s="119"/>
      <c r="Y17" s="70"/>
      <c r="Z17" s="27"/>
      <c r="AA17" s="27"/>
      <c r="AB17" s="73"/>
      <c r="AC17" s="27"/>
      <c r="AD17" s="27"/>
    </row>
    <row r="18" spans="1:30">
      <c r="A18" s="27"/>
      <c r="B18" s="230"/>
      <c r="C18" s="231"/>
      <c r="D18" s="258">
        <v>99.192982456140356</v>
      </c>
      <c r="E18" s="231"/>
      <c r="F18" s="232"/>
      <c r="G18" s="50"/>
      <c r="H18" s="49" t="s">
        <v>215</v>
      </c>
      <c r="I18" s="50"/>
      <c r="J18" s="69"/>
      <c r="K18" s="51"/>
      <c r="L18" s="52">
        <f t="shared" si="0"/>
        <v>1056.8783932396871</v>
      </c>
      <c r="M18" s="50"/>
      <c r="N18" s="50"/>
      <c r="O18" s="27"/>
      <c r="P18" s="7" t="s">
        <v>406</v>
      </c>
      <c r="Q18" s="21"/>
      <c r="R18" s="259">
        <f>X11</f>
        <v>1056.8783932396871</v>
      </c>
      <c r="S18" s="21"/>
      <c r="T18" s="52">
        <f>(R18*X43)*X45</f>
        <v>158531.75898595306</v>
      </c>
      <c r="U18" s="27"/>
      <c r="V18" s="27"/>
      <c r="W18" s="110" t="s">
        <v>327</v>
      </c>
      <c r="X18" s="119">
        <v>0.24199999999999999</v>
      </c>
      <c r="Y18" s="70" t="s">
        <v>365</v>
      </c>
      <c r="Z18" s="27"/>
      <c r="AA18" s="27"/>
      <c r="AB18" s="73"/>
      <c r="AC18" s="27"/>
      <c r="AD18" s="27"/>
    </row>
    <row r="19" spans="1:30" ht="15.75" thickBot="1">
      <c r="A19" s="27"/>
      <c r="B19" s="230" t="s">
        <v>406</v>
      </c>
      <c r="C19" s="231"/>
      <c r="D19" s="231"/>
      <c r="E19" s="231"/>
      <c r="F19" s="260">
        <v>3187</v>
      </c>
      <c r="G19" s="21"/>
      <c r="H19" s="71" t="s">
        <v>216</v>
      </c>
      <c r="I19" s="72"/>
      <c r="J19" s="72"/>
      <c r="K19" s="51"/>
      <c r="L19" s="52">
        <f t="shared" si="0"/>
        <v>659.46971027355744</v>
      </c>
      <c r="M19" s="21"/>
      <c r="N19" s="21"/>
      <c r="O19" s="27"/>
      <c r="P19" s="7" t="s">
        <v>407</v>
      </c>
      <c r="Q19" s="21"/>
      <c r="R19" s="74"/>
      <c r="S19" s="21"/>
      <c r="T19" s="52">
        <f>X12</f>
        <v>659.46971027355744</v>
      </c>
      <c r="U19" s="27"/>
      <c r="V19" s="27"/>
      <c r="W19" s="110" t="s">
        <v>178</v>
      </c>
      <c r="X19" s="119">
        <v>0.12</v>
      </c>
      <c r="Y19" s="280" t="s">
        <v>366</v>
      </c>
      <c r="Z19" s="27"/>
      <c r="AA19" s="27"/>
      <c r="AB19" s="73"/>
      <c r="AC19" s="27"/>
      <c r="AD19" s="27"/>
    </row>
    <row r="20" spans="1:30" ht="15.75" thickBot="1">
      <c r="A20" s="27"/>
      <c r="B20" s="230" t="s">
        <v>374</v>
      </c>
      <c r="C20" s="231"/>
      <c r="D20" s="231"/>
      <c r="E20" s="231"/>
      <c r="F20" s="240">
        <v>1750</v>
      </c>
      <c r="G20" s="72"/>
      <c r="H20" s="49" t="s">
        <v>217</v>
      </c>
      <c r="I20" s="50"/>
      <c r="J20" s="50"/>
      <c r="K20" s="51"/>
      <c r="L20" s="52">
        <f t="shared" si="0"/>
        <v>474.11060420697481</v>
      </c>
      <c r="M20" s="72"/>
      <c r="N20" s="72"/>
      <c r="O20" s="27"/>
      <c r="P20" s="7" t="s">
        <v>408</v>
      </c>
      <c r="Q20" s="21"/>
      <c r="R20" s="259">
        <f>X13</f>
        <v>474.11060420697481</v>
      </c>
      <c r="S20" s="21"/>
      <c r="T20" s="52">
        <f>(R20*X45)</f>
        <v>7111.659063104622</v>
      </c>
      <c r="U20" s="162"/>
      <c r="V20" s="162"/>
      <c r="W20" s="123" t="s">
        <v>372</v>
      </c>
      <c r="X20" s="124" t="e">
        <f>#REF!</f>
        <v>#REF!</v>
      </c>
      <c r="Y20" s="125" t="s">
        <v>393</v>
      </c>
      <c r="Z20" s="125"/>
      <c r="AA20" s="125"/>
      <c r="AB20" s="126"/>
      <c r="AC20" s="27"/>
      <c r="AD20" s="27"/>
    </row>
    <row r="21" spans="1:30">
      <c r="A21" s="27"/>
      <c r="B21" s="230" t="s">
        <v>408</v>
      </c>
      <c r="C21" s="231"/>
      <c r="D21" s="258">
        <v>44.322599999999994</v>
      </c>
      <c r="E21" s="231"/>
      <c r="F21" s="240">
        <v>664.83899999999994</v>
      </c>
      <c r="G21" s="50"/>
      <c r="H21" s="49" t="s">
        <v>221</v>
      </c>
      <c r="I21" s="50"/>
      <c r="J21" s="74"/>
      <c r="K21" s="51"/>
      <c r="L21" s="52">
        <f t="shared" si="0"/>
        <v>1733.9343036087084</v>
      </c>
      <c r="M21" s="50"/>
      <c r="N21" s="50"/>
      <c r="O21" s="27"/>
      <c r="P21" s="7" t="s">
        <v>409</v>
      </c>
      <c r="Q21" s="21"/>
      <c r="R21" s="259">
        <f>X14</f>
        <v>1733.9343036087084</v>
      </c>
      <c r="S21" s="21"/>
      <c r="T21" s="52">
        <f>R21*15</f>
        <v>26009.014554130626</v>
      </c>
      <c r="U21" s="162">
        <v>15859</v>
      </c>
      <c r="V21" s="162"/>
      <c r="W21" s="27"/>
      <c r="X21" s="27"/>
      <c r="Y21" s="27"/>
      <c r="Z21" s="27"/>
      <c r="AA21" s="27"/>
      <c r="AB21" s="27"/>
      <c r="AC21" s="27"/>
      <c r="AD21" s="27"/>
    </row>
    <row r="22" spans="1:30">
      <c r="A22" s="27"/>
      <c r="B22" s="230" t="s">
        <v>409</v>
      </c>
      <c r="C22" s="231"/>
      <c r="D22" s="231"/>
      <c r="E22" s="231"/>
      <c r="F22" s="240">
        <v>4500</v>
      </c>
      <c r="G22" s="50"/>
      <c r="H22" s="49" t="s">
        <v>225</v>
      </c>
      <c r="I22" s="50"/>
      <c r="J22" s="50"/>
      <c r="K22" s="51"/>
      <c r="L22" s="52">
        <f t="shared" si="0"/>
        <v>1347.3502436316674</v>
      </c>
      <c r="M22" s="50"/>
      <c r="N22" s="50"/>
      <c r="O22" s="27"/>
      <c r="P22" s="7"/>
      <c r="Q22" s="21"/>
      <c r="R22" s="74"/>
      <c r="S22" s="21"/>
      <c r="T22" s="52"/>
      <c r="U22" s="162"/>
      <c r="V22" s="162"/>
      <c r="W22" s="27"/>
      <c r="X22" s="27"/>
      <c r="Y22" s="27"/>
      <c r="Z22" s="27"/>
      <c r="AA22" s="27"/>
      <c r="AB22" s="27"/>
      <c r="AC22" s="27"/>
      <c r="AD22" s="27"/>
    </row>
    <row r="23" spans="1:30" ht="15.75" thickBot="1">
      <c r="A23" s="27"/>
      <c r="B23" s="230"/>
      <c r="C23" s="231"/>
      <c r="D23" s="231"/>
      <c r="E23" s="231"/>
      <c r="F23" s="232"/>
      <c r="G23" s="50"/>
      <c r="H23" s="7"/>
      <c r="I23" s="21"/>
      <c r="J23" s="21"/>
      <c r="K23" s="51"/>
      <c r="L23" s="38"/>
      <c r="M23" s="50"/>
      <c r="N23" s="50"/>
      <c r="O23" s="27"/>
      <c r="P23" s="7"/>
      <c r="Q23" s="21"/>
      <c r="R23" s="21"/>
      <c r="S23" s="21"/>
      <c r="T23" s="52"/>
      <c r="U23" s="162">
        <f>T20/U4</f>
        <v>39.509217017247899</v>
      </c>
      <c r="V23" s="114"/>
      <c r="W23" s="27"/>
      <c r="X23" s="27"/>
      <c r="Y23" s="27"/>
      <c r="Z23" s="27"/>
      <c r="AA23" s="27"/>
      <c r="AB23" s="27"/>
      <c r="AC23" s="27"/>
      <c r="AD23" s="27"/>
    </row>
    <row r="24" spans="1:30" ht="15.75" thickBot="1">
      <c r="A24" s="27"/>
      <c r="B24" s="245" t="s">
        <v>376</v>
      </c>
      <c r="C24" s="246"/>
      <c r="D24" s="246"/>
      <c r="E24" s="246"/>
      <c r="F24" s="261">
        <v>27786.929812318107</v>
      </c>
      <c r="G24" s="21"/>
      <c r="H24" s="57" t="s">
        <v>410</v>
      </c>
      <c r="I24" s="76"/>
      <c r="J24" s="76"/>
      <c r="K24" s="76"/>
      <c r="L24" s="77">
        <f>SUM(L16:L23)</f>
        <v>11395.332481257366</v>
      </c>
      <c r="M24" s="21"/>
      <c r="N24" s="21"/>
      <c r="O24" s="114">
        <f>F15+F17+F19+F20+F21+F22</f>
        <v>16289.733736842105</v>
      </c>
      <c r="P24" s="7"/>
      <c r="Q24" s="21"/>
      <c r="R24" s="21"/>
      <c r="S24" s="21"/>
      <c r="T24" s="38"/>
      <c r="U24" s="27">
        <f>U4*7.09</f>
        <v>1276.2</v>
      </c>
      <c r="V24" s="27"/>
      <c r="W24" s="27"/>
      <c r="X24" s="27"/>
      <c r="Y24" s="27"/>
      <c r="Z24" s="27"/>
      <c r="AA24" s="27"/>
      <c r="AB24" s="27"/>
      <c r="AC24" s="27"/>
      <c r="AD24" s="27"/>
    </row>
    <row r="25" spans="1:30" ht="15.75" thickBot="1">
      <c r="A25" s="27"/>
      <c r="B25" s="230" t="s">
        <v>377</v>
      </c>
      <c r="C25" s="231"/>
      <c r="D25" s="262">
        <f>F25/F24</f>
        <v>0.11306220647863946</v>
      </c>
      <c r="E25" s="231"/>
      <c r="F25" s="263">
        <v>3141.6515958477721</v>
      </c>
      <c r="G25" s="74"/>
      <c r="H25" s="80" t="s">
        <v>376</v>
      </c>
      <c r="I25" s="81"/>
      <c r="J25" s="81"/>
      <c r="K25" s="82"/>
      <c r="L25" s="83" t="e">
        <f>L24+L14</f>
        <v>#REF!</v>
      </c>
      <c r="M25" s="74"/>
      <c r="N25" s="74"/>
      <c r="O25" s="114" t="e">
        <f>O24+O14</f>
        <v>#REF!</v>
      </c>
      <c r="P25" s="3" t="s">
        <v>376</v>
      </c>
      <c r="Q25" s="249"/>
      <c r="R25" s="249"/>
      <c r="S25" s="249"/>
      <c r="T25" s="264" t="e">
        <f>SUM(T14:T24)</f>
        <v>#REF!</v>
      </c>
      <c r="U25" s="27"/>
      <c r="V25" s="27"/>
      <c r="W25" s="27"/>
      <c r="X25" s="27"/>
      <c r="Y25" s="27"/>
      <c r="Z25" s="27"/>
      <c r="AA25" s="27"/>
      <c r="AB25" s="27"/>
      <c r="AC25" s="27"/>
      <c r="AD25" s="27"/>
    </row>
    <row r="26" spans="1:30">
      <c r="A26" s="27"/>
      <c r="B26" s="230" t="s">
        <v>379</v>
      </c>
      <c r="C26" s="231"/>
      <c r="D26" s="231"/>
      <c r="E26" s="231"/>
      <c r="F26" s="263">
        <v>30928.581408165879</v>
      </c>
      <c r="G26" s="74"/>
      <c r="H26" s="84" t="s">
        <v>377</v>
      </c>
      <c r="I26" s="74"/>
      <c r="J26" s="61">
        <f>X19</f>
        <v>0.12</v>
      </c>
      <c r="K26" s="51"/>
      <c r="L26" s="52" t="e">
        <f>J26*L25</f>
        <v>#REF!</v>
      </c>
      <c r="M26" s="74"/>
      <c r="N26" s="74"/>
      <c r="O26" s="114" t="e">
        <f>D25*O25</f>
        <v>#REF!</v>
      </c>
      <c r="P26" s="7" t="s">
        <v>377</v>
      </c>
      <c r="Q26" s="21"/>
      <c r="R26" s="17">
        <f>D25</f>
        <v>0.11306220647863946</v>
      </c>
      <c r="S26" s="21"/>
      <c r="T26" s="241" t="e">
        <f>R26*T25</f>
        <v>#REF!</v>
      </c>
      <c r="U26" s="27"/>
      <c r="V26" s="27"/>
      <c r="W26" s="27"/>
      <c r="X26" s="27"/>
      <c r="Y26" s="27"/>
      <c r="Z26" s="27"/>
      <c r="AA26" s="27"/>
      <c r="AB26" s="27"/>
      <c r="AC26" s="27"/>
      <c r="AD26" s="27"/>
    </row>
    <row r="27" spans="1:30">
      <c r="A27" s="27"/>
      <c r="B27" s="245" t="s">
        <v>380</v>
      </c>
      <c r="C27" s="265"/>
      <c r="D27" s="265"/>
      <c r="E27" s="265"/>
      <c r="F27" s="266">
        <v>2153.8664092646718</v>
      </c>
      <c r="G27" s="74"/>
      <c r="H27" s="88" t="s">
        <v>379</v>
      </c>
      <c r="I27" s="89"/>
      <c r="J27" s="89"/>
      <c r="K27" s="90"/>
      <c r="L27" s="91" t="e">
        <f>SUM(L25:L26)</f>
        <v>#REF!</v>
      </c>
      <c r="M27" s="74"/>
      <c r="N27" s="74"/>
      <c r="O27" s="114" t="e">
        <f>SUM(O25:O26)</f>
        <v>#REF!</v>
      </c>
      <c r="P27" s="7" t="s">
        <v>379</v>
      </c>
      <c r="Q27" s="21"/>
      <c r="R27" s="21"/>
      <c r="S27" s="21"/>
      <c r="T27" s="241" t="e">
        <f>SUM(T25:T26)</f>
        <v>#REF!</v>
      </c>
      <c r="U27" s="27"/>
      <c r="V27" s="27"/>
      <c r="W27" s="27"/>
      <c r="X27" s="27"/>
      <c r="Y27" s="27"/>
      <c r="Z27" s="27"/>
      <c r="AA27" s="27"/>
      <c r="AB27" s="27"/>
      <c r="AC27" s="27"/>
      <c r="AD27" s="27"/>
    </row>
    <row r="28" spans="1:30">
      <c r="A28" s="27"/>
      <c r="B28" s="267" t="s">
        <v>381</v>
      </c>
      <c r="C28" s="246"/>
      <c r="D28" s="246"/>
      <c r="E28" s="268">
        <v>2.9824052590873982E-2</v>
      </c>
      <c r="F28" s="269">
        <f>F27*(E28+1)+0.01</f>
        <v>2218.1134343282984</v>
      </c>
      <c r="G28" s="89"/>
      <c r="H28" s="84" t="s">
        <v>378</v>
      </c>
      <c r="I28" s="74"/>
      <c r="J28" s="61" t="e">
        <f>X20</f>
        <v>#REF!</v>
      </c>
      <c r="K28" s="74"/>
      <c r="L28" s="52" t="e">
        <f>L27*(1+J28)</f>
        <v>#REF!</v>
      </c>
      <c r="M28" s="89"/>
      <c r="N28" s="89"/>
      <c r="O28" s="162" t="e">
        <f>(O27*#REF!)+O27</f>
        <v>#REF!</v>
      </c>
      <c r="P28" s="7" t="s">
        <v>378</v>
      </c>
      <c r="Q28" s="21"/>
      <c r="R28" s="21"/>
      <c r="S28" s="21"/>
      <c r="T28" s="241" t="e">
        <f>T27+(T27*#REF!)</f>
        <v>#REF!</v>
      </c>
      <c r="U28" s="27"/>
      <c r="V28" s="27"/>
      <c r="W28" s="27"/>
      <c r="X28" s="27"/>
      <c r="Y28" s="27"/>
      <c r="Z28" s="27"/>
      <c r="AA28" s="27"/>
      <c r="AB28" s="27"/>
      <c r="AC28" s="27"/>
      <c r="AD28" s="27"/>
    </row>
    <row r="29" spans="1:30" ht="15.75" thickBot="1">
      <c r="A29" s="27"/>
      <c r="B29" s="267" t="s">
        <v>383</v>
      </c>
      <c r="C29" s="246"/>
      <c r="D29" s="246"/>
      <c r="E29" s="268">
        <v>2.7235921972764018E-2</v>
      </c>
      <c r="F29" s="266">
        <f>F28*(E29+1)-0.01</f>
        <v>2278.5157987524035</v>
      </c>
      <c r="G29" s="74"/>
      <c r="H29" s="218" t="s">
        <v>380</v>
      </c>
      <c r="I29" s="219"/>
      <c r="J29" s="219"/>
      <c r="K29" s="219"/>
      <c r="L29" s="220" t="e">
        <f>L28/J4</f>
        <v>#REF!</v>
      </c>
      <c r="M29" s="74"/>
      <c r="N29" s="74"/>
      <c r="O29" s="162" t="e">
        <f>O28/15</f>
        <v>#REF!</v>
      </c>
      <c r="P29" s="3" t="s">
        <v>380</v>
      </c>
      <c r="Q29" s="270"/>
      <c r="R29" s="270"/>
      <c r="S29" s="270"/>
      <c r="T29" s="271" t="e">
        <f>T28/15</f>
        <v>#REF!</v>
      </c>
      <c r="U29" s="27"/>
      <c r="V29" s="211" t="e">
        <f>(L29-L30)/L30</f>
        <v>#REF!</v>
      </c>
      <c r="W29" s="27"/>
      <c r="X29" s="27"/>
      <c r="Y29" s="27"/>
      <c r="Z29" s="27"/>
      <c r="AA29" s="27"/>
      <c r="AB29" s="27"/>
      <c r="AC29" s="27"/>
      <c r="AD29" s="27"/>
    </row>
    <row r="30" spans="1:30">
      <c r="A30" s="27"/>
      <c r="B30" s="221"/>
      <c r="C30" s="221"/>
      <c r="D30" s="221"/>
      <c r="E30" s="221"/>
      <c r="F30" s="221"/>
      <c r="G30" s="89"/>
      <c r="H30" s="74"/>
      <c r="I30" s="74"/>
      <c r="J30" s="74"/>
      <c r="K30" s="27" t="s">
        <v>384</v>
      </c>
      <c r="L30" s="74">
        <v>2339.58</v>
      </c>
      <c r="M30" s="89"/>
      <c r="N30" s="89"/>
      <c r="O30" s="27"/>
      <c r="P30" s="272" t="s">
        <v>381</v>
      </c>
      <c r="Q30" s="273"/>
      <c r="R30" s="273"/>
      <c r="S30" s="274">
        <v>2.9824052590873982E-2</v>
      </c>
      <c r="T30" s="275">
        <v>2218.1134343282984</v>
      </c>
      <c r="U30" s="27"/>
      <c r="V30" s="134"/>
      <c r="W30" s="27"/>
      <c r="X30" s="27"/>
      <c r="Y30" s="27"/>
      <c r="Z30" s="27"/>
      <c r="AA30" s="27"/>
      <c r="AB30" s="27"/>
      <c r="AC30" s="27"/>
      <c r="AD30" s="27"/>
    </row>
    <row r="31" spans="1:30" ht="15.75" thickBot="1">
      <c r="A31" s="27"/>
      <c r="B31" s="27"/>
      <c r="C31" s="27"/>
      <c r="D31" s="27"/>
      <c r="E31" s="27"/>
      <c r="F31" s="27"/>
      <c r="G31" s="27"/>
      <c r="H31" s="89"/>
      <c r="I31" s="89"/>
      <c r="J31" s="89"/>
      <c r="K31" s="27" t="s">
        <v>385</v>
      </c>
      <c r="L31" s="74">
        <v>2449.92</v>
      </c>
      <c r="M31" s="27"/>
      <c r="N31" s="27"/>
      <c r="O31" s="27"/>
      <c r="P31" s="276" t="s">
        <v>383</v>
      </c>
      <c r="Q31" s="273"/>
      <c r="R31" s="277"/>
      <c r="S31" s="278">
        <v>2.7235921972764018E-2</v>
      </c>
      <c r="T31" s="279">
        <v>2278.5157987524035</v>
      </c>
      <c r="U31" s="27"/>
      <c r="V31" s="134">
        <f>(L31-L30)/L30</f>
        <v>4.7162311184058739E-2</v>
      </c>
      <c r="W31" s="27"/>
      <c r="X31" s="27"/>
      <c r="Y31" s="27"/>
      <c r="Z31" s="27"/>
      <c r="AA31" s="27"/>
      <c r="AB31" s="27"/>
      <c r="AC31" s="27"/>
      <c r="AD31" s="27"/>
    </row>
    <row r="32" spans="1:30">
      <c r="A32" s="27"/>
      <c r="B32" s="27"/>
      <c r="C32" s="27"/>
      <c r="D32" s="162"/>
      <c r="E32" s="27"/>
      <c r="F32" s="27"/>
      <c r="G32" s="27"/>
      <c r="H32" s="27"/>
      <c r="I32" s="27"/>
      <c r="J32" s="27"/>
      <c r="K32" s="27"/>
      <c r="L32" s="27"/>
      <c r="M32" s="27"/>
      <c r="N32" s="27"/>
      <c r="O32" s="27"/>
      <c r="P32" s="27"/>
      <c r="Q32" s="21"/>
      <c r="R32" s="27"/>
      <c r="S32" s="27"/>
      <c r="T32" s="27"/>
      <c r="U32" s="27"/>
      <c r="V32" s="27"/>
      <c r="W32" s="27"/>
      <c r="X32" s="27"/>
      <c r="Y32" s="27"/>
      <c r="Z32" s="27"/>
      <c r="AA32" s="27"/>
      <c r="AB32" s="27"/>
      <c r="AC32" s="27"/>
      <c r="AD32" s="27"/>
    </row>
    <row r="33" spans="1:30">
      <c r="A33" s="27"/>
      <c r="B33" s="27"/>
      <c r="C33" s="27"/>
      <c r="D33" s="162"/>
      <c r="E33" s="162"/>
      <c r="F33" s="27"/>
      <c r="G33" s="27"/>
      <c r="H33" s="27"/>
      <c r="I33" s="27"/>
      <c r="J33" s="27"/>
      <c r="K33" s="27"/>
      <c r="L33" s="27"/>
      <c r="M33" s="27"/>
      <c r="N33" s="27"/>
      <c r="O33" s="27"/>
      <c r="P33" s="27"/>
      <c r="Q33" s="21"/>
      <c r="R33" s="27"/>
      <c r="S33" s="27"/>
      <c r="T33" s="27"/>
      <c r="U33" s="27"/>
      <c r="V33" s="27"/>
      <c r="W33" s="27"/>
      <c r="X33" s="27"/>
      <c r="Y33" s="27"/>
      <c r="Z33" s="27"/>
      <c r="AA33" s="27"/>
      <c r="AB33" s="27"/>
      <c r="AC33" s="27"/>
      <c r="AD33" s="27"/>
    </row>
    <row r="34" spans="1:30">
      <c r="A34" s="27"/>
      <c r="B34" s="27"/>
      <c r="C34" s="27"/>
      <c r="D34" s="27"/>
      <c r="E34" s="27"/>
      <c r="F34" s="27"/>
      <c r="G34" s="27"/>
      <c r="H34" s="27"/>
      <c r="I34" s="27"/>
      <c r="J34" s="27"/>
      <c r="K34" s="27"/>
      <c r="L34" s="27"/>
      <c r="M34" s="27"/>
      <c r="N34" s="27"/>
      <c r="O34" s="27"/>
      <c r="P34" s="27"/>
      <c r="Q34" s="21"/>
      <c r="R34" s="27"/>
      <c r="S34" s="27"/>
      <c r="T34" s="27"/>
      <c r="U34" s="27"/>
      <c r="V34" s="27"/>
      <c r="W34" s="27"/>
      <c r="X34" s="27"/>
      <c r="Y34" s="27"/>
      <c r="Z34" s="27"/>
      <c r="AA34" s="27"/>
      <c r="AB34" s="27"/>
      <c r="AC34" s="27"/>
      <c r="AD34" s="27"/>
    </row>
    <row r="35" spans="1:30">
      <c r="A35" s="27"/>
      <c r="B35" s="27"/>
      <c r="C35" s="27"/>
      <c r="D35" s="162"/>
      <c r="E35" s="27"/>
      <c r="F35" s="27"/>
      <c r="G35" s="27"/>
      <c r="H35" s="27"/>
      <c r="I35" s="27"/>
      <c r="J35" s="27"/>
      <c r="K35" s="27"/>
      <c r="L35" s="27"/>
      <c r="M35" s="27"/>
      <c r="N35" s="27"/>
      <c r="O35" s="27"/>
      <c r="P35" s="27"/>
      <c r="Q35" s="21"/>
      <c r="R35" s="27"/>
      <c r="S35" s="27"/>
      <c r="T35" s="27"/>
      <c r="U35" s="27"/>
      <c r="V35" s="27"/>
      <c r="W35" s="27"/>
      <c r="X35" s="27"/>
      <c r="Y35" s="27"/>
      <c r="Z35" s="27"/>
      <c r="AA35" s="27"/>
      <c r="AB35" s="27"/>
      <c r="AC35" s="27"/>
      <c r="AD35" s="27"/>
    </row>
    <row r="36" spans="1:30">
      <c r="Q36" s="31"/>
    </row>
    <row r="37" spans="1:30">
      <c r="Q37" s="31"/>
    </row>
    <row r="38" spans="1:30">
      <c r="Q38" s="31"/>
    </row>
    <row r="39" spans="1:30">
      <c r="Q39" s="31"/>
    </row>
    <row r="40" spans="1:30">
      <c r="Q40" s="31"/>
    </row>
    <row r="41" spans="1:30">
      <c r="Q41" s="31"/>
    </row>
    <row r="42" spans="1:30">
      <c r="Q42" s="31"/>
    </row>
    <row r="43" spans="1:30" hidden="1">
      <c r="Q43" s="31"/>
      <c r="W43" s="5" t="s">
        <v>411</v>
      </c>
      <c r="X43" s="94">
        <v>10</v>
      </c>
      <c r="Y43" s="94" t="s">
        <v>412</v>
      </c>
      <c r="Z43" s="94"/>
      <c r="AA43" s="94"/>
      <c r="AB43" s="94"/>
    </row>
    <row r="44" spans="1:30" hidden="1">
      <c r="Q44" s="31"/>
      <c r="W44" s="6" t="s">
        <v>413</v>
      </c>
      <c r="X44" s="1">
        <v>12</v>
      </c>
      <c r="Y44" s="1" t="s">
        <v>412</v>
      </c>
    </row>
    <row r="45" spans="1:30" ht="77.099999999999994" hidden="1" customHeight="1">
      <c r="B45" s="41"/>
      <c r="C45" s="41"/>
      <c r="D45" s="95"/>
      <c r="E45" s="95"/>
      <c r="Q45" s="31"/>
      <c r="W45" s="98" t="s">
        <v>414</v>
      </c>
      <c r="X45" s="99">
        <v>15</v>
      </c>
      <c r="Y45" s="99" t="s">
        <v>412</v>
      </c>
      <c r="Z45" s="99"/>
      <c r="AA45" s="99"/>
      <c r="AB45" s="99"/>
    </row>
    <row r="46" spans="1:30" hidden="1">
      <c r="B46" s="31"/>
      <c r="C46" s="96"/>
      <c r="D46" s="97"/>
      <c r="E46" s="62"/>
      <c r="M46" s="25"/>
      <c r="N46" s="25"/>
      <c r="P46" s="41" t="s">
        <v>415</v>
      </c>
      <c r="Q46" s="41" t="s">
        <v>416</v>
      </c>
      <c r="R46" s="95">
        <v>2015</v>
      </c>
      <c r="S46" s="95">
        <v>2018</v>
      </c>
      <c r="T46" s="41">
        <v>2020</v>
      </c>
    </row>
    <row r="47" spans="1:30" hidden="1">
      <c r="B47" s="19"/>
      <c r="M47" s="25"/>
      <c r="N47" s="25"/>
      <c r="P47" s="1" t="s">
        <v>417</v>
      </c>
      <c r="Q47" s="100">
        <v>125</v>
      </c>
      <c r="R47" s="100">
        <v>128.72499999999999</v>
      </c>
      <c r="S47" s="100">
        <v>132.23094405594404</v>
      </c>
      <c r="T47" s="100" t="e">
        <f>(S47*#REF!)+S47</f>
        <v>#REF!</v>
      </c>
    </row>
    <row r="48" spans="1:30" ht="84.75" hidden="1" customHeight="1">
      <c r="B48" s="19"/>
      <c r="M48" s="25"/>
      <c r="N48" s="25"/>
      <c r="P48" s="19" t="s">
        <v>418</v>
      </c>
      <c r="X48" s="101">
        <v>8299.7000000000007</v>
      </c>
      <c r="Y48" s="1" t="s">
        <v>419</v>
      </c>
    </row>
    <row r="49" spans="24:28" hidden="1">
      <c r="X49" s="101">
        <f>X48/X45</f>
        <v>553.31333333333339</v>
      </c>
      <c r="Y49" s="1" t="s">
        <v>420</v>
      </c>
    </row>
    <row r="50" spans="24:28" hidden="1">
      <c r="X50" s="102">
        <f>X49*9</f>
        <v>4979.8200000000006</v>
      </c>
      <c r="Y50" s="103" t="s">
        <v>421</v>
      </c>
      <c r="Z50" s="103"/>
      <c r="AA50" s="103"/>
      <c r="AB50" s="103"/>
    </row>
    <row r="51" spans="24:28" hidden="1"/>
    <row r="52" spans="24:28" hidden="1">
      <c r="X52" s="101">
        <v>3716</v>
      </c>
      <c r="Y52" s="1" t="s">
        <v>422</v>
      </c>
    </row>
    <row r="53" spans="24:28" hidden="1">
      <c r="X53" s="101">
        <f>X52/X43</f>
        <v>371.6</v>
      </c>
      <c r="Y53" s="1" t="s">
        <v>423</v>
      </c>
    </row>
    <row r="54" spans="24:28" hidden="1"/>
    <row r="55" spans="24:28" hidden="1">
      <c r="X55" s="101">
        <v>1025</v>
      </c>
      <c r="Y55" s="1" t="s">
        <v>424</v>
      </c>
    </row>
    <row r="56" spans="24:28" hidden="1">
      <c r="X56" s="104">
        <f>X55/X45</f>
        <v>68.333333333333329</v>
      </c>
      <c r="Y56" s="1" t="s">
        <v>425</v>
      </c>
    </row>
    <row r="57" spans="24:28" hidden="1">
      <c r="X57" s="104">
        <f>X56/X43</f>
        <v>6.833333333333333</v>
      </c>
      <c r="Y57" s="1" t="s">
        <v>426</v>
      </c>
    </row>
    <row r="58" spans="24:28" hidden="1"/>
    <row r="59" spans="24:28" hidden="1">
      <c r="X59" s="100">
        <v>1898</v>
      </c>
      <c r="Y59" s="1" t="s">
        <v>427</v>
      </c>
    </row>
    <row r="60" spans="24:28" hidden="1"/>
    <row r="61" spans="24:28" hidden="1">
      <c r="X61" s="100">
        <v>44.32</v>
      </c>
      <c r="Y61" s="1" t="s">
        <v>428</v>
      </c>
    </row>
    <row r="62" spans="24:28" hidden="1">
      <c r="X62" s="100"/>
    </row>
    <row r="63" spans="24:28" hidden="1">
      <c r="X63" s="100">
        <v>3371.64</v>
      </c>
      <c r="Y63" s="1" t="s">
        <v>429</v>
      </c>
    </row>
    <row r="64" spans="24:28" hidden="1">
      <c r="X64" s="100">
        <f>X63/X43</f>
        <v>337.16399999999999</v>
      </c>
    </row>
    <row r="65" hidden="1"/>
    <row r="66" hidden="1"/>
    <row r="67" hidden="1"/>
    <row r="68" hidden="1"/>
  </sheetData>
  <mergeCells count="4">
    <mergeCell ref="H3:L3"/>
    <mergeCell ref="W4:AB4"/>
    <mergeCell ref="W3:AB3"/>
    <mergeCell ref="W8:AB8"/>
  </mergeCells>
  <pageMargins left="0.7" right="0.7" top="0.75" bottom="0.75" header="0.3" footer="0.3"/>
  <pageSetup scale="68" orientation="landscape"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79998168889431442"/>
    <pageSetUpPr fitToPage="1"/>
  </sheetPr>
  <dimension ref="A2:T323"/>
  <sheetViews>
    <sheetView zoomScale="140" zoomScaleNormal="140" workbookViewId="0">
      <selection activeCell="O27" sqref="O27"/>
    </sheetView>
  </sheetViews>
  <sheetFormatPr defaultRowHeight="12.75"/>
  <cols>
    <col min="1" max="1" width="30.5703125" style="27" customWidth="1"/>
    <col min="2" max="2" width="10.5703125" style="27" customWidth="1"/>
    <col min="3" max="3" width="10.140625" style="27" bestFit="1" customWidth="1"/>
    <col min="4" max="5" width="8.85546875" style="27"/>
    <col min="6" max="6" width="33.140625" style="27" customWidth="1"/>
    <col min="7" max="7" width="11.140625" style="27" customWidth="1"/>
    <col min="8" max="8" width="10.140625" style="27" bestFit="1" customWidth="1"/>
    <col min="9" max="9" width="11" style="27" customWidth="1"/>
    <col min="10" max="10" width="9.85546875" style="27" customWidth="1"/>
    <col min="11" max="11" width="32.42578125" style="27" customWidth="1"/>
    <col min="12" max="12" width="12.42578125" style="27" bestFit="1" customWidth="1"/>
    <col min="13" max="13" width="8.85546875" style="27"/>
    <col min="14" max="14" width="11" style="27" customWidth="1"/>
    <col min="15" max="16" width="10" style="27" customWidth="1"/>
    <col min="17" max="17" width="10.140625" style="27" customWidth="1"/>
    <col min="18" max="18" width="8.85546875" style="27"/>
    <col min="19" max="19" width="9.42578125" style="27" bestFit="1" customWidth="1"/>
    <col min="20" max="20" width="8.85546875" style="27"/>
    <col min="21" max="21" width="28" style="27" bestFit="1" customWidth="1"/>
    <col min="22" max="22" width="11.5703125" style="27" customWidth="1"/>
    <col min="23" max="241" width="8.85546875" style="27"/>
    <col min="242" max="242" width="22.140625" style="27" bestFit="1" customWidth="1"/>
    <col min="243" max="243" width="6.85546875" style="27" customWidth="1"/>
    <col min="244" max="244" width="7.140625" style="27" customWidth="1"/>
    <col min="245" max="245" width="10.42578125" style="27" customWidth="1"/>
    <col min="246" max="250" width="8.85546875" style="27"/>
    <col min="251" max="251" width="22.140625" style="27" bestFit="1" customWidth="1"/>
    <col min="252" max="252" width="5.140625" style="27" bestFit="1" customWidth="1"/>
    <col min="253" max="253" width="7.140625" style="27" customWidth="1"/>
    <col min="254" max="254" width="11.42578125" style="27" customWidth="1"/>
    <col min="255" max="257" width="8.85546875" style="27"/>
    <col min="258" max="258" width="9.85546875" style="27" customWidth="1"/>
    <col min="259" max="259" width="8.85546875" style="27"/>
    <col min="260" max="260" width="22.42578125" style="27" customWidth="1"/>
    <col min="261" max="261" width="5.140625" style="27" bestFit="1" customWidth="1"/>
    <col min="262" max="262" width="6.85546875" style="27" customWidth="1"/>
    <col min="263" max="263" width="8.140625" style="27" bestFit="1" customWidth="1"/>
    <col min="264" max="264" width="8.85546875" style="27"/>
    <col min="265" max="265" width="9.42578125" style="27" bestFit="1" customWidth="1"/>
    <col min="266" max="266" width="8.85546875" style="27"/>
    <col min="267" max="267" width="10.5703125" style="27" customWidth="1"/>
    <col min="268" max="268" width="8.85546875" style="27"/>
    <col min="269" max="269" width="22.140625" style="27" bestFit="1" customWidth="1"/>
    <col min="270" max="275" width="8.85546875" style="27"/>
    <col min="276" max="276" width="38.5703125" style="27" customWidth="1"/>
    <col min="277" max="277" width="28" style="27" bestFit="1" customWidth="1"/>
    <col min="278" max="278" width="11.5703125" style="27" customWidth="1"/>
    <col min="279" max="497" width="8.85546875" style="27"/>
    <col min="498" max="498" width="22.140625" style="27" bestFit="1" customWidth="1"/>
    <col min="499" max="499" width="6.85546875" style="27" customWidth="1"/>
    <col min="500" max="500" width="7.140625" style="27" customWidth="1"/>
    <col min="501" max="501" width="10.42578125" style="27" customWidth="1"/>
    <col min="502" max="506" width="8.85546875" style="27"/>
    <col min="507" max="507" width="22.140625" style="27" bestFit="1" customWidth="1"/>
    <col min="508" max="508" width="5.140625" style="27" bestFit="1" customWidth="1"/>
    <col min="509" max="509" width="7.140625" style="27" customWidth="1"/>
    <col min="510" max="510" width="11.42578125" style="27" customWidth="1"/>
    <col min="511" max="513" width="8.85546875" style="27"/>
    <col min="514" max="514" width="9.85546875" style="27" customWidth="1"/>
    <col min="515" max="515" width="8.85546875" style="27"/>
    <col min="516" max="516" width="22.42578125" style="27" customWidth="1"/>
    <col min="517" max="517" width="5.140625" style="27" bestFit="1" customWidth="1"/>
    <col min="518" max="518" width="6.85546875" style="27" customWidth="1"/>
    <col min="519" max="519" width="8.140625" style="27" bestFit="1" customWidth="1"/>
    <col min="520" max="520" width="8.85546875" style="27"/>
    <col min="521" max="521" width="9.42578125" style="27" bestFit="1" customWidth="1"/>
    <col min="522" max="522" width="8.85546875" style="27"/>
    <col min="523" max="523" width="10.5703125" style="27" customWidth="1"/>
    <col min="524" max="524" width="8.85546875" style="27"/>
    <col min="525" max="525" width="22.140625" style="27" bestFit="1" customWidth="1"/>
    <col min="526" max="531" width="8.85546875" style="27"/>
    <col min="532" max="532" width="38.5703125" style="27" customWidth="1"/>
    <col min="533" max="533" width="28" style="27" bestFit="1" customWidth="1"/>
    <col min="534" max="534" width="11.5703125" style="27" customWidth="1"/>
    <col min="535" max="753" width="8.85546875" style="27"/>
    <col min="754" max="754" width="22.140625" style="27" bestFit="1" customWidth="1"/>
    <col min="755" max="755" width="6.85546875" style="27" customWidth="1"/>
    <col min="756" max="756" width="7.140625" style="27" customWidth="1"/>
    <col min="757" max="757" width="10.42578125" style="27" customWidth="1"/>
    <col min="758" max="762" width="8.85546875" style="27"/>
    <col min="763" max="763" width="22.140625" style="27" bestFit="1" customWidth="1"/>
    <col min="764" max="764" width="5.140625" style="27" bestFit="1" customWidth="1"/>
    <col min="765" max="765" width="7.140625" style="27" customWidth="1"/>
    <col min="766" max="766" width="11.42578125" style="27" customWidth="1"/>
    <col min="767" max="769" width="8.85546875" style="27"/>
    <col min="770" max="770" width="9.85546875" style="27" customWidth="1"/>
    <col min="771" max="771" width="8.85546875" style="27"/>
    <col min="772" max="772" width="22.42578125" style="27" customWidth="1"/>
    <col min="773" max="773" width="5.140625" style="27" bestFit="1" customWidth="1"/>
    <col min="774" max="774" width="6.85546875" style="27" customWidth="1"/>
    <col min="775" max="775" width="8.140625" style="27" bestFit="1" customWidth="1"/>
    <col min="776" max="776" width="8.85546875" style="27"/>
    <col min="777" max="777" width="9.42578125" style="27" bestFit="1" customWidth="1"/>
    <col min="778" max="778" width="8.85546875" style="27"/>
    <col min="779" max="779" width="10.5703125" style="27" customWidth="1"/>
    <col min="780" max="780" width="8.85546875" style="27"/>
    <col min="781" max="781" width="22.140625" style="27" bestFit="1" customWidth="1"/>
    <col min="782" max="787" width="8.85546875" style="27"/>
    <col min="788" max="788" width="38.5703125" style="27" customWidth="1"/>
    <col min="789" max="789" width="28" style="27" bestFit="1" customWidth="1"/>
    <col min="790" max="790" width="11.5703125" style="27" customWidth="1"/>
    <col min="791" max="1009" width="8.85546875" style="27"/>
    <col min="1010" max="1010" width="22.140625" style="27" bestFit="1" customWidth="1"/>
    <col min="1011" max="1011" width="6.85546875" style="27" customWidth="1"/>
    <col min="1012" max="1012" width="7.140625" style="27" customWidth="1"/>
    <col min="1013" max="1013" width="10.42578125" style="27" customWidth="1"/>
    <col min="1014" max="1018" width="8.85546875" style="27"/>
    <col min="1019" max="1019" width="22.140625" style="27" bestFit="1" customWidth="1"/>
    <col min="1020" max="1020" width="5.140625" style="27" bestFit="1" customWidth="1"/>
    <col min="1021" max="1021" width="7.140625" style="27" customWidth="1"/>
    <col min="1022" max="1022" width="11.42578125" style="27" customWidth="1"/>
    <col min="1023" max="1025" width="8.85546875" style="27"/>
    <col min="1026" max="1026" width="9.85546875" style="27" customWidth="1"/>
    <col min="1027" max="1027" width="8.85546875" style="27"/>
    <col min="1028" max="1028" width="22.42578125" style="27" customWidth="1"/>
    <col min="1029" max="1029" width="5.140625" style="27" bestFit="1" customWidth="1"/>
    <col min="1030" max="1030" width="6.85546875" style="27" customWidth="1"/>
    <col min="1031" max="1031" width="8.140625" style="27" bestFit="1" customWidth="1"/>
    <col min="1032" max="1032" width="8.85546875" style="27"/>
    <col min="1033" max="1033" width="9.42578125" style="27" bestFit="1" customWidth="1"/>
    <col min="1034" max="1034" width="8.85546875" style="27"/>
    <col min="1035" max="1035" width="10.5703125" style="27" customWidth="1"/>
    <col min="1036" max="1036" width="8.85546875" style="27"/>
    <col min="1037" max="1037" width="22.140625" style="27" bestFit="1" customWidth="1"/>
    <col min="1038" max="1043" width="8.85546875" style="27"/>
    <col min="1044" max="1044" width="38.5703125" style="27" customWidth="1"/>
    <col min="1045" max="1045" width="28" style="27" bestFit="1" customWidth="1"/>
    <col min="1046" max="1046" width="11.5703125" style="27" customWidth="1"/>
    <col min="1047" max="1265" width="8.85546875" style="27"/>
    <col min="1266" max="1266" width="22.140625" style="27" bestFit="1" customWidth="1"/>
    <col min="1267" max="1267" width="6.85546875" style="27" customWidth="1"/>
    <col min="1268" max="1268" width="7.140625" style="27" customWidth="1"/>
    <col min="1269" max="1269" width="10.42578125" style="27" customWidth="1"/>
    <col min="1270" max="1274" width="8.85546875" style="27"/>
    <col min="1275" max="1275" width="22.140625" style="27" bestFit="1" customWidth="1"/>
    <col min="1276" max="1276" width="5.140625" style="27" bestFit="1" customWidth="1"/>
    <col min="1277" max="1277" width="7.140625" style="27" customWidth="1"/>
    <col min="1278" max="1278" width="11.42578125" style="27" customWidth="1"/>
    <col min="1279" max="1281" width="8.85546875" style="27"/>
    <col min="1282" max="1282" width="9.85546875" style="27" customWidth="1"/>
    <col min="1283" max="1283" width="8.85546875" style="27"/>
    <col min="1284" max="1284" width="22.42578125" style="27" customWidth="1"/>
    <col min="1285" max="1285" width="5.140625" style="27" bestFit="1" customWidth="1"/>
    <col min="1286" max="1286" width="6.85546875" style="27" customWidth="1"/>
    <col min="1287" max="1287" width="8.140625" style="27" bestFit="1" customWidth="1"/>
    <col min="1288" max="1288" width="8.85546875" style="27"/>
    <col min="1289" max="1289" width="9.42578125" style="27" bestFit="1" customWidth="1"/>
    <col min="1290" max="1290" width="8.85546875" style="27"/>
    <col min="1291" max="1291" width="10.5703125" style="27" customWidth="1"/>
    <col min="1292" max="1292" width="8.85546875" style="27"/>
    <col min="1293" max="1293" width="22.140625" style="27" bestFit="1" customWidth="1"/>
    <col min="1294" max="1299" width="8.85546875" style="27"/>
    <col min="1300" max="1300" width="38.5703125" style="27" customWidth="1"/>
    <col min="1301" max="1301" width="28" style="27" bestFit="1" customWidth="1"/>
    <col min="1302" max="1302" width="11.5703125" style="27" customWidth="1"/>
    <col min="1303" max="1521" width="8.85546875" style="27"/>
    <col min="1522" max="1522" width="22.140625" style="27" bestFit="1" customWidth="1"/>
    <col min="1523" max="1523" width="6.85546875" style="27" customWidth="1"/>
    <col min="1524" max="1524" width="7.140625" style="27" customWidth="1"/>
    <col min="1525" max="1525" width="10.42578125" style="27" customWidth="1"/>
    <col min="1526" max="1530" width="8.85546875" style="27"/>
    <col min="1531" max="1531" width="22.140625" style="27" bestFit="1" customWidth="1"/>
    <col min="1532" max="1532" width="5.140625" style="27" bestFit="1" customWidth="1"/>
    <col min="1533" max="1533" width="7.140625" style="27" customWidth="1"/>
    <col min="1534" max="1534" width="11.42578125" style="27" customWidth="1"/>
    <col min="1535" max="1537" width="8.85546875" style="27"/>
    <col min="1538" max="1538" width="9.85546875" style="27" customWidth="1"/>
    <col min="1539" max="1539" width="8.85546875" style="27"/>
    <col min="1540" max="1540" width="22.42578125" style="27" customWidth="1"/>
    <col min="1541" max="1541" width="5.140625" style="27" bestFit="1" customWidth="1"/>
    <col min="1542" max="1542" width="6.85546875" style="27" customWidth="1"/>
    <col min="1543" max="1543" width="8.140625" style="27" bestFit="1" customWidth="1"/>
    <col min="1544" max="1544" width="8.85546875" style="27"/>
    <col min="1545" max="1545" width="9.42578125" style="27" bestFit="1" customWidth="1"/>
    <col min="1546" max="1546" width="8.85546875" style="27"/>
    <col min="1547" max="1547" width="10.5703125" style="27" customWidth="1"/>
    <col min="1548" max="1548" width="8.85546875" style="27"/>
    <col min="1549" max="1549" width="22.140625" style="27" bestFit="1" customWidth="1"/>
    <col min="1550" max="1555" width="8.85546875" style="27"/>
    <col min="1556" max="1556" width="38.5703125" style="27" customWidth="1"/>
    <col min="1557" max="1557" width="28" style="27" bestFit="1" customWidth="1"/>
    <col min="1558" max="1558" width="11.5703125" style="27" customWidth="1"/>
    <col min="1559" max="1777" width="8.85546875" style="27"/>
    <col min="1778" max="1778" width="22.140625" style="27" bestFit="1" customWidth="1"/>
    <col min="1779" max="1779" width="6.85546875" style="27" customWidth="1"/>
    <col min="1780" max="1780" width="7.140625" style="27" customWidth="1"/>
    <col min="1781" max="1781" width="10.42578125" style="27" customWidth="1"/>
    <col min="1782" max="1786" width="8.85546875" style="27"/>
    <col min="1787" max="1787" width="22.140625" style="27" bestFit="1" customWidth="1"/>
    <col min="1788" max="1788" width="5.140625" style="27" bestFit="1" customWidth="1"/>
    <col min="1789" max="1789" width="7.140625" style="27" customWidth="1"/>
    <col min="1790" max="1790" width="11.42578125" style="27" customWidth="1"/>
    <col min="1791" max="1793" width="8.85546875" style="27"/>
    <col min="1794" max="1794" width="9.85546875" style="27" customWidth="1"/>
    <col min="1795" max="1795" width="8.85546875" style="27"/>
    <col min="1796" max="1796" width="22.42578125" style="27" customWidth="1"/>
    <col min="1797" max="1797" width="5.140625" style="27" bestFit="1" customWidth="1"/>
    <col min="1798" max="1798" width="6.85546875" style="27" customWidth="1"/>
    <col min="1799" max="1799" width="8.140625" style="27" bestFit="1" customWidth="1"/>
    <col min="1800" max="1800" width="8.85546875" style="27"/>
    <col min="1801" max="1801" width="9.42578125" style="27" bestFit="1" customWidth="1"/>
    <col min="1802" max="1802" width="8.85546875" style="27"/>
    <col min="1803" max="1803" width="10.5703125" style="27" customWidth="1"/>
    <col min="1804" max="1804" width="8.85546875" style="27"/>
    <col min="1805" max="1805" width="22.140625" style="27" bestFit="1" customWidth="1"/>
    <col min="1806" max="1811" width="8.85546875" style="27"/>
    <col min="1812" max="1812" width="38.5703125" style="27" customWidth="1"/>
    <col min="1813" max="1813" width="28" style="27" bestFit="1" customWidth="1"/>
    <col min="1814" max="1814" width="11.5703125" style="27" customWidth="1"/>
    <col min="1815" max="2033" width="8.85546875" style="27"/>
    <col min="2034" max="2034" width="22.140625" style="27" bestFit="1" customWidth="1"/>
    <col min="2035" max="2035" width="6.85546875" style="27" customWidth="1"/>
    <col min="2036" max="2036" width="7.140625" style="27" customWidth="1"/>
    <col min="2037" max="2037" width="10.42578125" style="27" customWidth="1"/>
    <col min="2038" max="2042" width="8.85546875" style="27"/>
    <col min="2043" max="2043" width="22.140625" style="27" bestFit="1" customWidth="1"/>
    <col min="2044" max="2044" width="5.140625" style="27" bestFit="1" customWidth="1"/>
    <col min="2045" max="2045" width="7.140625" style="27" customWidth="1"/>
    <col min="2046" max="2046" width="11.42578125" style="27" customWidth="1"/>
    <col min="2047" max="2049" width="8.85546875" style="27"/>
    <col min="2050" max="2050" width="9.85546875" style="27" customWidth="1"/>
    <col min="2051" max="2051" width="8.85546875" style="27"/>
    <col min="2052" max="2052" width="22.42578125" style="27" customWidth="1"/>
    <col min="2053" max="2053" width="5.140625" style="27" bestFit="1" customWidth="1"/>
    <col min="2054" max="2054" width="6.85546875" style="27" customWidth="1"/>
    <col min="2055" max="2055" width="8.140625" style="27" bestFit="1" customWidth="1"/>
    <col min="2056" max="2056" width="8.85546875" style="27"/>
    <col min="2057" max="2057" width="9.42578125" style="27" bestFit="1" customWidth="1"/>
    <col min="2058" max="2058" width="8.85546875" style="27"/>
    <col min="2059" max="2059" width="10.5703125" style="27" customWidth="1"/>
    <col min="2060" max="2060" width="8.85546875" style="27"/>
    <col min="2061" max="2061" width="22.140625" style="27" bestFit="1" customWidth="1"/>
    <col min="2062" max="2067" width="8.85546875" style="27"/>
    <col min="2068" max="2068" width="38.5703125" style="27" customWidth="1"/>
    <col min="2069" max="2069" width="28" style="27" bestFit="1" customWidth="1"/>
    <col min="2070" max="2070" width="11.5703125" style="27" customWidth="1"/>
    <col min="2071" max="2289" width="8.85546875" style="27"/>
    <col min="2290" max="2290" width="22.140625" style="27" bestFit="1" customWidth="1"/>
    <col min="2291" max="2291" width="6.85546875" style="27" customWidth="1"/>
    <col min="2292" max="2292" width="7.140625" style="27" customWidth="1"/>
    <col min="2293" max="2293" width="10.42578125" style="27" customWidth="1"/>
    <col min="2294" max="2298" width="8.85546875" style="27"/>
    <col min="2299" max="2299" width="22.140625" style="27" bestFit="1" customWidth="1"/>
    <col min="2300" max="2300" width="5.140625" style="27" bestFit="1" customWidth="1"/>
    <col min="2301" max="2301" width="7.140625" style="27" customWidth="1"/>
    <col min="2302" max="2302" width="11.42578125" style="27" customWidth="1"/>
    <col min="2303" max="2305" width="8.85546875" style="27"/>
    <col min="2306" max="2306" width="9.85546875" style="27" customWidth="1"/>
    <col min="2307" max="2307" width="8.85546875" style="27"/>
    <col min="2308" max="2308" width="22.42578125" style="27" customWidth="1"/>
    <col min="2309" max="2309" width="5.140625" style="27" bestFit="1" customWidth="1"/>
    <col min="2310" max="2310" width="6.85546875" style="27" customWidth="1"/>
    <col min="2311" max="2311" width="8.140625" style="27" bestFit="1" customWidth="1"/>
    <col min="2312" max="2312" width="8.85546875" style="27"/>
    <col min="2313" max="2313" width="9.42578125" style="27" bestFit="1" customWidth="1"/>
    <col min="2314" max="2314" width="8.85546875" style="27"/>
    <col min="2315" max="2315" width="10.5703125" style="27" customWidth="1"/>
    <col min="2316" max="2316" width="8.85546875" style="27"/>
    <col min="2317" max="2317" width="22.140625" style="27" bestFit="1" customWidth="1"/>
    <col min="2318" max="2323" width="8.85546875" style="27"/>
    <col min="2324" max="2324" width="38.5703125" style="27" customWidth="1"/>
    <col min="2325" max="2325" width="28" style="27" bestFit="1" customWidth="1"/>
    <col min="2326" max="2326" width="11.5703125" style="27" customWidth="1"/>
    <col min="2327" max="2545" width="8.85546875" style="27"/>
    <col min="2546" max="2546" width="22.140625" style="27" bestFit="1" customWidth="1"/>
    <col min="2547" max="2547" width="6.85546875" style="27" customWidth="1"/>
    <col min="2548" max="2548" width="7.140625" style="27" customWidth="1"/>
    <col min="2549" max="2549" width="10.42578125" style="27" customWidth="1"/>
    <col min="2550" max="2554" width="8.85546875" style="27"/>
    <col min="2555" max="2555" width="22.140625" style="27" bestFit="1" customWidth="1"/>
    <col min="2556" max="2556" width="5.140625" style="27" bestFit="1" customWidth="1"/>
    <col min="2557" max="2557" width="7.140625" style="27" customWidth="1"/>
    <col min="2558" max="2558" width="11.42578125" style="27" customWidth="1"/>
    <col min="2559" max="2561" width="8.85546875" style="27"/>
    <col min="2562" max="2562" width="9.85546875" style="27" customWidth="1"/>
    <col min="2563" max="2563" width="8.85546875" style="27"/>
    <col min="2564" max="2564" width="22.42578125" style="27" customWidth="1"/>
    <col min="2565" max="2565" width="5.140625" style="27" bestFit="1" customWidth="1"/>
    <col min="2566" max="2566" width="6.85546875" style="27" customWidth="1"/>
    <col min="2567" max="2567" width="8.140625" style="27" bestFit="1" customWidth="1"/>
    <col min="2568" max="2568" width="8.85546875" style="27"/>
    <col min="2569" max="2569" width="9.42578125" style="27" bestFit="1" customWidth="1"/>
    <col min="2570" max="2570" width="8.85546875" style="27"/>
    <col min="2571" max="2571" width="10.5703125" style="27" customWidth="1"/>
    <col min="2572" max="2572" width="8.85546875" style="27"/>
    <col min="2573" max="2573" width="22.140625" style="27" bestFit="1" customWidth="1"/>
    <col min="2574" max="2579" width="8.85546875" style="27"/>
    <col min="2580" max="2580" width="38.5703125" style="27" customWidth="1"/>
    <col min="2581" max="2581" width="28" style="27" bestFit="1" customWidth="1"/>
    <col min="2582" max="2582" width="11.5703125" style="27" customWidth="1"/>
    <col min="2583" max="2801" width="8.85546875" style="27"/>
    <col min="2802" max="2802" width="22.140625" style="27" bestFit="1" customWidth="1"/>
    <col min="2803" max="2803" width="6.85546875" style="27" customWidth="1"/>
    <col min="2804" max="2804" width="7.140625" style="27" customWidth="1"/>
    <col min="2805" max="2805" width="10.42578125" style="27" customWidth="1"/>
    <col min="2806" max="2810" width="8.85546875" style="27"/>
    <col min="2811" max="2811" width="22.140625" style="27" bestFit="1" customWidth="1"/>
    <col min="2812" max="2812" width="5.140625" style="27" bestFit="1" customWidth="1"/>
    <col min="2813" max="2813" width="7.140625" style="27" customWidth="1"/>
    <col min="2814" max="2814" width="11.42578125" style="27" customWidth="1"/>
    <col min="2815" max="2817" width="8.85546875" style="27"/>
    <col min="2818" max="2818" width="9.85546875" style="27" customWidth="1"/>
    <col min="2819" max="2819" width="8.85546875" style="27"/>
    <col min="2820" max="2820" width="22.42578125" style="27" customWidth="1"/>
    <col min="2821" max="2821" width="5.140625" style="27" bestFit="1" customWidth="1"/>
    <col min="2822" max="2822" width="6.85546875" style="27" customWidth="1"/>
    <col min="2823" max="2823" width="8.140625" style="27" bestFit="1" customWidth="1"/>
    <col min="2824" max="2824" width="8.85546875" style="27"/>
    <col min="2825" max="2825" width="9.42578125" style="27" bestFit="1" customWidth="1"/>
    <col min="2826" max="2826" width="8.85546875" style="27"/>
    <col min="2827" max="2827" width="10.5703125" style="27" customWidth="1"/>
    <col min="2828" max="2828" width="8.85546875" style="27"/>
    <col min="2829" max="2829" width="22.140625" style="27" bestFit="1" customWidth="1"/>
    <col min="2830" max="2835" width="8.85546875" style="27"/>
    <col min="2836" max="2836" width="38.5703125" style="27" customWidth="1"/>
    <col min="2837" max="2837" width="28" style="27" bestFit="1" customWidth="1"/>
    <col min="2838" max="2838" width="11.5703125" style="27" customWidth="1"/>
    <col min="2839" max="3057" width="8.85546875" style="27"/>
    <col min="3058" max="3058" width="22.140625" style="27" bestFit="1" customWidth="1"/>
    <col min="3059" max="3059" width="6.85546875" style="27" customWidth="1"/>
    <col min="3060" max="3060" width="7.140625" style="27" customWidth="1"/>
    <col min="3061" max="3061" width="10.42578125" style="27" customWidth="1"/>
    <col min="3062" max="3066" width="8.85546875" style="27"/>
    <col min="3067" max="3067" width="22.140625" style="27" bestFit="1" customWidth="1"/>
    <col min="3068" max="3068" width="5.140625" style="27" bestFit="1" customWidth="1"/>
    <col min="3069" max="3069" width="7.140625" style="27" customWidth="1"/>
    <col min="3070" max="3070" width="11.42578125" style="27" customWidth="1"/>
    <col min="3071" max="3073" width="8.85546875" style="27"/>
    <col min="3074" max="3074" width="9.85546875" style="27" customWidth="1"/>
    <col min="3075" max="3075" width="8.85546875" style="27"/>
    <col min="3076" max="3076" width="22.42578125" style="27" customWidth="1"/>
    <col min="3077" max="3077" width="5.140625" style="27" bestFit="1" customWidth="1"/>
    <col min="3078" max="3078" width="6.85546875" style="27" customWidth="1"/>
    <col min="3079" max="3079" width="8.140625" style="27" bestFit="1" customWidth="1"/>
    <col min="3080" max="3080" width="8.85546875" style="27"/>
    <col min="3081" max="3081" width="9.42578125" style="27" bestFit="1" customWidth="1"/>
    <col min="3082" max="3082" width="8.85546875" style="27"/>
    <col min="3083" max="3083" width="10.5703125" style="27" customWidth="1"/>
    <col min="3084" max="3084" width="8.85546875" style="27"/>
    <col min="3085" max="3085" width="22.140625" style="27" bestFit="1" customWidth="1"/>
    <col min="3086" max="3091" width="8.85546875" style="27"/>
    <col min="3092" max="3092" width="38.5703125" style="27" customWidth="1"/>
    <col min="3093" max="3093" width="28" style="27" bestFit="1" customWidth="1"/>
    <col min="3094" max="3094" width="11.5703125" style="27" customWidth="1"/>
    <col min="3095" max="3313" width="8.85546875" style="27"/>
    <col min="3314" max="3314" width="22.140625" style="27" bestFit="1" customWidth="1"/>
    <col min="3315" max="3315" width="6.85546875" style="27" customWidth="1"/>
    <col min="3316" max="3316" width="7.140625" style="27" customWidth="1"/>
    <col min="3317" max="3317" width="10.42578125" style="27" customWidth="1"/>
    <col min="3318" max="3322" width="8.85546875" style="27"/>
    <col min="3323" max="3323" width="22.140625" style="27" bestFit="1" customWidth="1"/>
    <col min="3324" max="3324" width="5.140625" style="27" bestFit="1" customWidth="1"/>
    <col min="3325" max="3325" width="7.140625" style="27" customWidth="1"/>
    <col min="3326" max="3326" width="11.42578125" style="27" customWidth="1"/>
    <col min="3327" max="3329" width="8.85546875" style="27"/>
    <col min="3330" max="3330" width="9.85546875" style="27" customWidth="1"/>
    <col min="3331" max="3331" width="8.85546875" style="27"/>
    <col min="3332" max="3332" width="22.42578125" style="27" customWidth="1"/>
    <col min="3333" max="3333" width="5.140625" style="27" bestFit="1" customWidth="1"/>
    <col min="3334" max="3334" width="6.85546875" style="27" customWidth="1"/>
    <col min="3335" max="3335" width="8.140625" style="27" bestFit="1" customWidth="1"/>
    <col min="3336" max="3336" width="8.85546875" style="27"/>
    <col min="3337" max="3337" width="9.42578125" style="27" bestFit="1" customWidth="1"/>
    <col min="3338" max="3338" width="8.85546875" style="27"/>
    <col min="3339" max="3339" width="10.5703125" style="27" customWidth="1"/>
    <col min="3340" max="3340" width="8.85546875" style="27"/>
    <col min="3341" max="3341" width="22.140625" style="27" bestFit="1" customWidth="1"/>
    <col min="3342" max="3347" width="8.85546875" style="27"/>
    <col min="3348" max="3348" width="38.5703125" style="27" customWidth="1"/>
    <col min="3349" max="3349" width="28" style="27" bestFit="1" customWidth="1"/>
    <col min="3350" max="3350" width="11.5703125" style="27" customWidth="1"/>
    <col min="3351" max="3569" width="8.85546875" style="27"/>
    <col min="3570" max="3570" width="22.140625" style="27" bestFit="1" customWidth="1"/>
    <col min="3571" max="3571" width="6.85546875" style="27" customWidth="1"/>
    <col min="3572" max="3572" width="7.140625" style="27" customWidth="1"/>
    <col min="3573" max="3573" width="10.42578125" style="27" customWidth="1"/>
    <col min="3574" max="3578" width="8.85546875" style="27"/>
    <col min="3579" max="3579" width="22.140625" style="27" bestFit="1" customWidth="1"/>
    <col min="3580" max="3580" width="5.140625" style="27" bestFit="1" customWidth="1"/>
    <col min="3581" max="3581" width="7.140625" style="27" customWidth="1"/>
    <col min="3582" max="3582" width="11.42578125" style="27" customWidth="1"/>
    <col min="3583" max="3585" width="8.85546875" style="27"/>
    <col min="3586" max="3586" width="9.85546875" style="27" customWidth="1"/>
    <col min="3587" max="3587" width="8.85546875" style="27"/>
    <col min="3588" max="3588" width="22.42578125" style="27" customWidth="1"/>
    <col min="3589" max="3589" width="5.140625" style="27" bestFit="1" customWidth="1"/>
    <col min="3590" max="3590" width="6.85546875" style="27" customWidth="1"/>
    <col min="3591" max="3591" width="8.140625" style="27" bestFit="1" customWidth="1"/>
    <col min="3592" max="3592" width="8.85546875" style="27"/>
    <col min="3593" max="3593" width="9.42578125" style="27" bestFit="1" customWidth="1"/>
    <col min="3594" max="3594" width="8.85546875" style="27"/>
    <col min="3595" max="3595" width="10.5703125" style="27" customWidth="1"/>
    <col min="3596" max="3596" width="8.85546875" style="27"/>
    <col min="3597" max="3597" width="22.140625" style="27" bestFit="1" customWidth="1"/>
    <col min="3598" max="3603" width="8.85546875" style="27"/>
    <col min="3604" max="3604" width="38.5703125" style="27" customWidth="1"/>
    <col min="3605" max="3605" width="28" style="27" bestFit="1" customWidth="1"/>
    <col min="3606" max="3606" width="11.5703125" style="27" customWidth="1"/>
    <col min="3607" max="3825" width="8.85546875" style="27"/>
    <col min="3826" max="3826" width="22.140625" style="27" bestFit="1" customWidth="1"/>
    <col min="3827" max="3827" width="6.85546875" style="27" customWidth="1"/>
    <col min="3828" max="3828" width="7.140625" style="27" customWidth="1"/>
    <col min="3829" max="3829" width="10.42578125" style="27" customWidth="1"/>
    <col min="3830" max="3834" width="8.85546875" style="27"/>
    <col min="3835" max="3835" width="22.140625" style="27" bestFit="1" customWidth="1"/>
    <col min="3836" max="3836" width="5.140625" style="27" bestFit="1" customWidth="1"/>
    <col min="3837" max="3837" width="7.140625" style="27" customWidth="1"/>
    <col min="3838" max="3838" width="11.42578125" style="27" customWidth="1"/>
    <col min="3839" max="3841" width="8.85546875" style="27"/>
    <col min="3842" max="3842" width="9.85546875" style="27" customWidth="1"/>
    <col min="3843" max="3843" width="8.85546875" style="27"/>
    <col min="3844" max="3844" width="22.42578125" style="27" customWidth="1"/>
    <col min="3845" max="3845" width="5.140625" style="27" bestFit="1" customWidth="1"/>
    <col min="3846" max="3846" width="6.85546875" style="27" customWidth="1"/>
    <col min="3847" max="3847" width="8.140625" style="27" bestFit="1" customWidth="1"/>
    <col min="3848" max="3848" width="8.85546875" style="27"/>
    <col min="3849" max="3849" width="9.42578125" style="27" bestFit="1" customWidth="1"/>
    <col min="3850" max="3850" width="8.85546875" style="27"/>
    <col min="3851" max="3851" width="10.5703125" style="27" customWidth="1"/>
    <col min="3852" max="3852" width="8.85546875" style="27"/>
    <col min="3853" max="3853" width="22.140625" style="27" bestFit="1" customWidth="1"/>
    <col min="3854" max="3859" width="8.85546875" style="27"/>
    <col min="3860" max="3860" width="38.5703125" style="27" customWidth="1"/>
    <col min="3861" max="3861" width="28" style="27" bestFit="1" customWidth="1"/>
    <col min="3862" max="3862" width="11.5703125" style="27" customWidth="1"/>
    <col min="3863" max="4081" width="8.85546875" style="27"/>
    <col min="4082" max="4082" width="22.140625" style="27" bestFit="1" customWidth="1"/>
    <col min="4083" max="4083" width="6.85546875" style="27" customWidth="1"/>
    <col min="4084" max="4084" width="7.140625" style="27" customWidth="1"/>
    <col min="4085" max="4085" width="10.42578125" style="27" customWidth="1"/>
    <col min="4086" max="4090" width="8.85546875" style="27"/>
    <col min="4091" max="4091" width="22.140625" style="27" bestFit="1" customWidth="1"/>
    <col min="4092" max="4092" width="5.140625" style="27" bestFit="1" customWidth="1"/>
    <col min="4093" max="4093" width="7.140625" style="27" customWidth="1"/>
    <col min="4094" max="4094" width="11.42578125" style="27" customWidth="1"/>
    <col min="4095" max="4097" width="8.85546875" style="27"/>
    <col min="4098" max="4098" width="9.85546875" style="27" customWidth="1"/>
    <col min="4099" max="4099" width="8.85546875" style="27"/>
    <col min="4100" max="4100" width="22.42578125" style="27" customWidth="1"/>
    <col min="4101" max="4101" width="5.140625" style="27" bestFit="1" customWidth="1"/>
    <col min="4102" max="4102" width="6.85546875" style="27" customWidth="1"/>
    <col min="4103" max="4103" width="8.140625" style="27" bestFit="1" customWidth="1"/>
    <col min="4104" max="4104" width="8.85546875" style="27"/>
    <col min="4105" max="4105" width="9.42578125" style="27" bestFit="1" customWidth="1"/>
    <col min="4106" max="4106" width="8.85546875" style="27"/>
    <col min="4107" max="4107" width="10.5703125" style="27" customWidth="1"/>
    <col min="4108" max="4108" width="8.85546875" style="27"/>
    <col min="4109" max="4109" width="22.140625" style="27" bestFit="1" customWidth="1"/>
    <col min="4110" max="4115" width="8.85546875" style="27"/>
    <col min="4116" max="4116" width="38.5703125" style="27" customWidth="1"/>
    <col min="4117" max="4117" width="28" style="27" bestFit="1" customWidth="1"/>
    <col min="4118" max="4118" width="11.5703125" style="27" customWidth="1"/>
    <col min="4119" max="4337" width="8.85546875" style="27"/>
    <col min="4338" max="4338" width="22.140625" style="27" bestFit="1" customWidth="1"/>
    <col min="4339" max="4339" width="6.85546875" style="27" customWidth="1"/>
    <col min="4340" max="4340" width="7.140625" style="27" customWidth="1"/>
    <col min="4341" max="4341" width="10.42578125" style="27" customWidth="1"/>
    <col min="4342" max="4346" width="8.85546875" style="27"/>
    <col min="4347" max="4347" width="22.140625" style="27" bestFit="1" customWidth="1"/>
    <col min="4348" max="4348" width="5.140625" style="27" bestFit="1" customWidth="1"/>
    <col min="4349" max="4349" width="7.140625" style="27" customWidth="1"/>
    <col min="4350" max="4350" width="11.42578125" style="27" customWidth="1"/>
    <col min="4351" max="4353" width="8.85546875" style="27"/>
    <col min="4354" max="4354" width="9.85546875" style="27" customWidth="1"/>
    <col min="4355" max="4355" width="8.85546875" style="27"/>
    <col min="4356" max="4356" width="22.42578125" style="27" customWidth="1"/>
    <col min="4357" max="4357" width="5.140625" style="27" bestFit="1" customWidth="1"/>
    <col min="4358" max="4358" width="6.85546875" style="27" customWidth="1"/>
    <col min="4359" max="4359" width="8.140625" style="27" bestFit="1" customWidth="1"/>
    <col min="4360" max="4360" width="8.85546875" style="27"/>
    <col min="4361" max="4361" width="9.42578125" style="27" bestFit="1" customWidth="1"/>
    <col min="4362" max="4362" width="8.85546875" style="27"/>
    <col min="4363" max="4363" width="10.5703125" style="27" customWidth="1"/>
    <col min="4364" max="4364" width="8.85546875" style="27"/>
    <col min="4365" max="4365" width="22.140625" style="27" bestFit="1" customWidth="1"/>
    <col min="4366" max="4371" width="8.85546875" style="27"/>
    <col min="4372" max="4372" width="38.5703125" style="27" customWidth="1"/>
    <col min="4373" max="4373" width="28" style="27" bestFit="1" customWidth="1"/>
    <col min="4374" max="4374" width="11.5703125" style="27" customWidth="1"/>
    <col min="4375" max="4593" width="8.85546875" style="27"/>
    <col min="4594" max="4594" width="22.140625" style="27" bestFit="1" customWidth="1"/>
    <col min="4595" max="4595" width="6.85546875" style="27" customWidth="1"/>
    <col min="4596" max="4596" width="7.140625" style="27" customWidth="1"/>
    <col min="4597" max="4597" width="10.42578125" style="27" customWidth="1"/>
    <col min="4598" max="4602" width="8.85546875" style="27"/>
    <col min="4603" max="4603" width="22.140625" style="27" bestFit="1" customWidth="1"/>
    <col min="4604" max="4604" width="5.140625" style="27" bestFit="1" customWidth="1"/>
    <col min="4605" max="4605" width="7.140625" style="27" customWidth="1"/>
    <col min="4606" max="4606" width="11.42578125" style="27" customWidth="1"/>
    <col min="4607" max="4609" width="8.85546875" style="27"/>
    <col min="4610" max="4610" width="9.85546875" style="27" customWidth="1"/>
    <col min="4611" max="4611" width="8.85546875" style="27"/>
    <col min="4612" max="4612" width="22.42578125" style="27" customWidth="1"/>
    <col min="4613" max="4613" width="5.140625" style="27" bestFit="1" customWidth="1"/>
    <col min="4614" max="4614" width="6.85546875" style="27" customWidth="1"/>
    <col min="4615" max="4615" width="8.140625" style="27" bestFit="1" customWidth="1"/>
    <col min="4616" max="4616" width="8.85546875" style="27"/>
    <col min="4617" max="4617" width="9.42578125" style="27" bestFit="1" customWidth="1"/>
    <col min="4618" max="4618" width="8.85546875" style="27"/>
    <col min="4619" max="4619" width="10.5703125" style="27" customWidth="1"/>
    <col min="4620" max="4620" width="8.85546875" style="27"/>
    <col min="4621" max="4621" width="22.140625" style="27" bestFit="1" customWidth="1"/>
    <col min="4622" max="4627" width="8.85546875" style="27"/>
    <col min="4628" max="4628" width="38.5703125" style="27" customWidth="1"/>
    <col min="4629" max="4629" width="28" style="27" bestFit="1" customWidth="1"/>
    <col min="4630" max="4630" width="11.5703125" style="27" customWidth="1"/>
    <col min="4631" max="4849" width="8.85546875" style="27"/>
    <col min="4850" max="4850" width="22.140625" style="27" bestFit="1" customWidth="1"/>
    <col min="4851" max="4851" width="6.85546875" style="27" customWidth="1"/>
    <col min="4852" max="4852" width="7.140625" style="27" customWidth="1"/>
    <col min="4853" max="4853" width="10.42578125" style="27" customWidth="1"/>
    <col min="4854" max="4858" width="8.85546875" style="27"/>
    <col min="4859" max="4859" width="22.140625" style="27" bestFit="1" customWidth="1"/>
    <col min="4860" max="4860" width="5.140625" style="27" bestFit="1" customWidth="1"/>
    <col min="4861" max="4861" width="7.140625" style="27" customWidth="1"/>
    <col min="4862" max="4862" width="11.42578125" style="27" customWidth="1"/>
    <col min="4863" max="4865" width="8.85546875" style="27"/>
    <col min="4866" max="4866" width="9.85546875" style="27" customWidth="1"/>
    <col min="4867" max="4867" width="8.85546875" style="27"/>
    <col min="4868" max="4868" width="22.42578125" style="27" customWidth="1"/>
    <col min="4869" max="4869" width="5.140625" style="27" bestFit="1" customWidth="1"/>
    <col min="4870" max="4870" width="6.85546875" style="27" customWidth="1"/>
    <col min="4871" max="4871" width="8.140625" style="27" bestFit="1" customWidth="1"/>
    <col min="4872" max="4872" width="8.85546875" style="27"/>
    <col min="4873" max="4873" width="9.42578125" style="27" bestFit="1" customWidth="1"/>
    <col min="4874" max="4874" width="8.85546875" style="27"/>
    <col min="4875" max="4875" width="10.5703125" style="27" customWidth="1"/>
    <col min="4876" max="4876" width="8.85546875" style="27"/>
    <col min="4877" max="4877" width="22.140625" style="27" bestFit="1" customWidth="1"/>
    <col min="4878" max="4883" width="8.85546875" style="27"/>
    <col min="4884" max="4884" width="38.5703125" style="27" customWidth="1"/>
    <col min="4885" max="4885" width="28" style="27" bestFit="1" customWidth="1"/>
    <col min="4886" max="4886" width="11.5703125" style="27" customWidth="1"/>
    <col min="4887" max="5105" width="8.85546875" style="27"/>
    <col min="5106" max="5106" width="22.140625" style="27" bestFit="1" customWidth="1"/>
    <col min="5107" max="5107" width="6.85546875" style="27" customWidth="1"/>
    <col min="5108" max="5108" width="7.140625" style="27" customWidth="1"/>
    <col min="5109" max="5109" width="10.42578125" style="27" customWidth="1"/>
    <col min="5110" max="5114" width="8.85546875" style="27"/>
    <col min="5115" max="5115" width="22.140625" style="27" bestFit="1" customWidth="1"/>
    <col min="5116" max="5116" width="5.140625" style="27" bestFit="1" customWidth="1"/>
    <col min="5117" max="5117" width="7.140625" style="27" customWidth="1"/>
    <col min="5118" max="5118" width="11.42578125" style="27" customWidth="1"/>
    <col min="5119" max="5121" width="8.85546875" style="27"/>
    <col min="5122" max="5122" width="9.85546875" style="27" customWidth="1"/>
    <col min="5123" max="5123" width="8.85546875" style="27"/>
    <col min="5124" max="5124" width="22.42578125" style="27" customWidth="1"/>
    <col min="5125" max="5125" width="5.140625" style="27" bestFit="1" customWidth="1"/>
    <col min="5126" max="5126" width="6.85546875" style="27" customWidth="1"/>
    <col min="5127" max="5127" width="8.140625" style="27" bestFit="1" customWidth="1"/>
    <col min="5128" max="5128" width="8.85546875" style="27"/>
    <col min="5129" max="5129" width="9.42578125" style="27" bestFit="1" customWidth="1"/>
    <col min="5130" max="5130" width="8.85546875" style="27"/>
    <col min="5131" max="5131" width="10.5703125" style="27" customWidth="1"/>
    <col min="5132" max="5132" width="8.85546875" style="27"/>
    <col min="5133" max="5133" width="22.140625" style="27" bestFit="1" customWidth="1"/>
    <col min="5134" max="5139" width="8.85546875" style="27"/>
    <col min="5140" max="5140" width="38.5703125" style="27" customWidth="1"/>
    <col min="5141" max="5141" width="28" style="27" bestFit="1" customWidth="1"/>
    <col min="5142" max="5142" width="11.5703125" style="27" customWidth="1"/>
    <col min="5143" max="5361" width="8.85546875" style="27"/>
    <col min="5362" max="5362" width="22.140625" style="27" bestFit="1" customWidth="1"/>
    <col min="5363" max="5363" width="6.85546875" style="27" customWidth="1"/>
    <col min="5364" max="5364" width="7.140625" style="27" customWidth="1"/>
    <col min="5365" max="5365" width="10.42578125" style="27" customWidth="1"/>
    <col min="5366" max="5370" width="8.85546875" style="27"/>
    <col min="5371" max="5371" width="22.140625" style="27" bestFit="1" customWidth="1"/>
    <col min="5372" max="5372" width="5.140625" style="27" bestFit="1" customWidth="1"/>
    <col min="5373" max="5373" width="7.140625" style="27" customWidth="1"/>
    <col min="5374" max="5374" width="11.42578125" style="27" customWidth="1"/>
    <col min="5375" max="5377" width="8.85546875" style="27"/>
    <col min="5378" max="5378" width="9.85546875" style="27" customWidth="1"/>
    <col min="5379" max="5379" width="8.85546875" style="27"/>
    <col min="5380" max="5380" width="22.42578125" style="27" customWidth="1"/>
    <col min="5381" max="5381" width="5.140625" style="27" bestFit="1" customWidth="1"/>
    <col min="5382" max="5382" width="6.85546875" style="27" customWidth="1"/>
    <col min="5383" max="5383" width="8.140625" style="27" bestFit="1" customWidth="1"/>
    <col min="5384" max="5384" width="8.85546875" style="27"/>
    <col min="5385" max="5385" width="9.42578125" style="27" bestFit="1" customWidth="1"/>
    <col min="5386" max="5386" width="8.85546875" style="27"/>
    <col min="5387" max="5387" width="10.5703125" style="27" customWidth="1"/>
    <col min="5388" max="5388" width="8.85546875" style="27"/>
    <col min="5389" max="5389" width="22.140625" style="27" bestFit="1" customWidth="1"/>
    <col min="5390" max="5395" width="8.85546875" style="27"/>
    <col min="5396" max="5396" width="38.5703125" style="27" customWidth="1"/>
    <col min="5397" max="5397" width="28" style="27" bestFit="1" customWidth="1"/>
    <col min="5398" max="5398" width="11.5703125" style="27" customWidth="1"/>
    <col min="5399" max="5617" width="8.85546875" style="27"/>
    <col min="5618" max="5618" width="22.140625" style="27" bestFit="1" customWidth="1"/>
    <col min="5619" max="5619" width="6.85546875" style="27" customWidth="1"/>
    <col min="5620" max="5620" width="7.140625" style="27" customWidth="1"/>
    <col min="5621" max="5621" width="10.42578125" style="27" customWidth="1"/>
    <col min="5622" max="5626" width="8.85546875" style="27"/>
    <col min="5627" max="5627" width="22.140625" style="27" bestFit="1" customWidth="1"/>
    <col min="5628" max="5628" width="5.140625" style="27" bestFit="1" customWidth="1"/>
    <col min="5629" max="5629" width="7.140625" style="27" customWidth="1"/>
    <col min="5630" max="5630" width="11.42578125" style="27" customWidth="1"/>
    <col min="5631" max="5633" width="8.85546875" style="27"/>
    <col min="5634" max="5634" width="9.85546875" style="27" customWidth="1"/>
    <col min="5635" max="5635" width="8.85546875" style="27"/>
    <col min="5636" max="5636" width="22.42578125" style="27" customWidth="1"/>
    <col min="5637" max="5637" width="5.140625" style="27" bestFit="1" customWidth="1"/>
    <col min="5638" max="5638" width="6.85546875" style="27" customWidth="1"/>
    <col min="5639" max="5639" width="8.140625" style="27" bestFit="1" customWidth="1"/>
    <col min="5640" max="5640" width="8.85546875" style="27"/>
    <col min="5641" max="5641" width="9.42578125" style="27" bestFit="1" customWidth="1"/>
    <col min="5642" max="5642" width="8.85546875" style="27"/>
    <col min="5643" max="5643" width="10.5703125" style="27" customWidth="1"/>
    <col min="5644" max="5644" width="8.85546875" style="27"/>
    <col min="5645" max="5645" width="22.140625" style="27" bestFit="1" customWidth="1"/>
    <col min="5646" max="5651" width="8.85546875" style="27"/>
    <col min="5652" max="5652" width="38.5703125" style="27" customWidth="1"/>
    <col min="5653" max="5653" width="28" style="27" bestFit="1" customWidth="1"/>
    <col min="5654" max="5654" width="11.5703125" style="27" customWidth="1"/>
    <col min="5655" max="5873" width="8.85546875" style="27"/>
    <col min="5874" max="5874" width="22.140625" style="27" bestFit="1" customWidth="1"/>
    <col min="5875" max="5875" width="6.85546875" style="27" customWidth="1"/>
    <col min="5876" max="5876" width="7.140625" style="27" customWidth="1"/>
    <col min="5877" max="5877" width="10.42578125" style="27" customWidth="1"/>
    <col min="5878" max="5882" width="8.85546875" style="27"/>
    <col min="5883" max="5883" width="22.140625" style="27" bestFit="1" customWidth="1"/>
    <col min="5884" max="5884" width="5.140625" style="27" bestFit="1" customWidth="1"/>
    <col min="5885" max="5885" width="7.140625" style="27" customWidth="1"/>
    <col min="5886" max="5886" width="11.42578125" style="27" customWidth="1"/>
    <col min="5887" max="5889" width="8.85546875" style="27"/>
    <col min="5890" max="5890" width="9.85546875" style="27" customWidth="1"/>
    <col min="5891" max="5891" width="8.85546875" style="27"/>
    <col min="5892" max="5892" width="22.42578125" style="27" customWidth="1"/>
    <col min="5893" max="5893" width="5.140625" style="27" bestFit="1" customWidth="1"/>
    <col min="5894" max="5894" width="6.85546875" style="27" customWidth="1"/>
    <col min="5895" max="5895" width="8.140625" style="27" bestFit="1" customWidth="1"/>
    <col min="5896" max="5896" width="8.85546875" style="27"/>
    <col min="5897" max="5897" width="9.42578125" style="27" bestFit="1" customWidth="1"/>
    <col min="5898" max="5898" width="8.85546875" style="27"/>
    <col min="5899" max="5899" width="10.5703125" style="27" customWidth="1"/>
    <col min="5900" max="5900" width="8.85546875" style="27"/>
    <col min="5901" max="5901" width="22.140625" style="27" bestFit="1" customWidth="1"/>
    <col min="5902" max="5907" width="8.85546875" style="27"/>
    <col min="5908" max="5908" width="38.5703125" style="27" customWidth="1"/>
    <col min="5909" max="5909" width="28" style="27" bestFit="1" customWidth="1"/>
    <col min="5910" max="5910" width="11.5703125" style="27" customWidth="1"/>
    <col min="5911" max="6129" width="8.85546875" style="27"/>
    <col min="6130" max="6130" width="22.140625" style="27" bestFit="1" customWidth="1"/>
    <col min="6131" max="6131" width="6.85546875" style="27" customWidth="1"/>
    <col min="6132" max="6132" width="7.140625" style="27" customWidth="1"/>
    <col min="6133" max="6133" width="10.42578125" style="27" customWidth="1"/>
    <col min="6134" max="6138" width="8.85546875" style="27"/>
    <col min="6139" max="6139" width="22.140625" style="27" bestFit="1" customWidth="1"/>
    <col min="6140" max="6140" width="5.140625" style="27" bestFit="1" customWidth="1"/>
    <col min="6141" max="6141" width="7.140625" style="27" customWidth="1"/>
    <col min="6142" max="6142" width="11.42578125" style="27" customWidth="1"/>
    <col min="6143" max="6145" width="8.85546875" style="27"/>
    <col min="6146" max="6146" width="9.85546875" style="27" customWidth="1"/>
    <col min="6147" max="6147" width="8.85546875" style="27"/>
    <col min="6148" max="6148" width="22.42578125" style="27" customWidth="1"/>
    <col min="6149" max="6149" width="5.140625" style="27" bestFit="1" customWidth="1"/>
    <col min="6150" max="6150" width="6.85546875" style="27" customWidth="1"/>
    <col min="6151" max="6151" width="8.140625" style="27" bestFit="1" customWidth="1"/>
    <col min="6152" max="6152" width="8.85546875" style="27"/>
    <col min="6153" max="6153" width="9.42578125" style="27" bestFit="1" customWidth="1"/>
    <col min="6154" max="6154" width="8.85546875" style="27"/>
    <col min="6155" max="6155" width="10.5703125" style="27" customWidth="1"/>
    <col min="6156" max="6156" width="8.85546875" style="27"/>
    <col min="6157" max="6157" width="22.140625" style="27" bestFit="1" customWidth="1"/>
    <col min="6158" max="6163" width="8.85546875" style="27"/>
    <col min="6164" max="6164" width="38.5703125" style="27" customWidth="1"/>
    <col min="6165" max="6165" width="28" style="27" bestFit="1" customWidth="1"/>
    <col min="6166" max="6166" width="11.5703125" style="27" customWidth="1"/>
    <col min="6167" max="6385" width="8.85546875" style="27"/>
    <col min="6386" max="6386" width="22.140625" style="27" bestFit="1" customWidth="1"/>
    <col min="6387" max="6387" width="6.85546875" style="27" customWidth="1"/>
    <col min="6388" max="6388" width="7.140625" style="27" customWidth="1"/>
    <col min="6389" max="6389" width="10.42578125" style="27" customWidth="1"/>
    <col min="6390" max="6394" width="8.85546875" style="27"/>
    <col min="6395" max="6395" width="22.140625" style="27" bestFit="1" customWidth="1"/>
    <col min="6396" max="6396" width="5.140625" style="27" bestFit="1" customWidth="1"/>
    <col min="6397" max="6397" width="7.140625" style="27" customWidth="1"/>
    <col min="6398" max="6398" width="11.42578125" style="27" customWidth="1"/>
    <col min="6399" max="6401" width="8.85546875" style="27"/>
    <col min="6402" max="6402" width="9.85546875" style="27" customWidth="1"/>
    <col min="6403" max="6403" width="8.85546875" style="27"/>
    <col min="6404" max="6404" width="22.42578125" style="27" customWidth="1"/>
    <col min="6405" max="6405" width="5.140625" style="27" bestFit="1" customWidth="1"/>
    <col min="6406" max="6406" width="6.85546875" style="27" customWidth="1"/>
    <col min="6407" max="6407" width="8.140625" style="27" bestFit="1" customWidth="1"/>
    <col min="6408" max="6408" width="8.85546875" style="27"/>
    <col min="6409" max="6409" width="9.42578125" style="27" bestFit="1" customWidth="1"/>
    <col min="6410" max="6410" width="8.85546875" style="27"/>
    <col min="6411" max="6411" width="10.5703125" style="27" customWidth="1"/>
    <col min="6412" max="6412" width="8.85546875" style="27"/>
    <col min="6413" max="6413" width="22.140625" style="27" bestFit="1" customWidth="1"/>
    <col min="6414" max="6419" width="8.85546875" style="27"/>
    <col min="6420" max="6420" width="38.5703125" style="27" customWidth="1"/>
    <col min="6421" max="6421" width="28" style="27" bestFit="1" customWidth="1"/>
    <col min="6422" max="6422" width="11.5703125" style="27" customWidth="1"/>
    <col min="6423" max="6641" width="8.85546875" style="27"/>
    <col min="6642" max="6642" width="22.140625" style="27" bestFit="1" customWidth="1"/>
    <col min="6643" max="6643" width="6.85546875" style="27" customWidth="1"/>
    <col min="6644" max="6644" width="7.140625" style="27" customWidth="1"/>
    <col min="6645" max="6645" width="10.42578125" style="27" customWidth="1"/>
    <col min="6646" max="6650" width="8.85546875" style="27"/>
    <col min="6651" max="6651" width="22.140625" style="27" bestFit="1" customWidth="1"/>
    <col min="6652" max="6652" width="5.140625" style="27" bestFit="1" customWidth="1"/>
    <col min="6653" max="6653" width="7.140625" style="27" customWidth="1"/>
    <col min="6654" max="6654" width="11.42578125" style="27" customWidth="1"/>
    <col min="6655" max="6657" width="8.85546875" style="27"/>
    <col min="6658" max="6658" width="9.85546875" style="27" customWidth="1"/>
    <col min="6659" max="6659" width="8.85546875" style="27"/>
    <col min="6660" max="6660" width="22.42578125" style="27" customWidth="1"/>
    <col min="6661" max="6661" width="5.140625" style="27" bestFit="1" customWidth="1"/>
    <col min="6662" max="6662" width="6.85546875" style="27" customWidth="1"/>
    <col min="6663" max="6663" width="8.140625" style="27" bestFit="1" customWidth="1"/>
    <col min="6664" max="6664" width="8.85546875" style="27"/>
    <col min="6665" max="6665" width="9.42578125" style="27" bestFit="1" customWidth="1"/>
    <col min="6666" max="6666" width="8.85546875" style="27"/>
    <col min="6667" max="6667" width="10.5703125" style="27" customWidth="1"/>
    <col min="6668" max="6668" width="8.85546875" style="27"/>
    <col min="6669" max="6669" width="22.140625" style="27" bestFit="1" customWidth="1"/>
    <col min="6670" max="6675" width="8.85546875" style="27"/>
    <col min="6676" max="6676" width="38.5703125" style="27" customWidth="1"/>
    <col min="6677" max="6677" width="28" style="27" bestFit="1" customWidth="1"/>
    <col min="6678" max="6678" width="11.5703125" style="27" customWidth="1"/>
    <col min="6679" max="6897" width="8.85546875" style="27"/>
    <col min="6898" max="6898" width="22.140625" style="27" bestFit="1" customWidth="1"/>
    <col min="6899" max="6899" width="6.85546875" style="27" customWidth="1"/>
    <col min="6900" max="6900" width="7.140625" style="27" customWidth="1"/>
    <col min="6901" max="6901" width="10.42578125" style="27" customWidth="1"/>
    <col min="6902" max="6906" width="8.85546875" style="27"/>
    <col min="6907" max="6907" width="22.140625" style="27" bestFit="1" customWidth="1"/>
    <col min="6908" max="6908" width="5.140625" style="27" bestFit="1" customWidth="1"/>
    <col min="6909" max="6909" width="7.140625" style="27" customWidth="1"/>
    <col min="6910" max="6910" width="11.42578125" style="27" customWidth="1"/>
    <col min="6911" max="6913" width="8.85546875" style="27"/>
    <col min="6914" max="6914" width="9.85546875" style="27" customWidth="1"/>
    <col min="6915" max="6915" width="8.85546875" style="27"/>
    <col min="6916" max="6916" width="22.42578125" style="27" customWidth="1"/>
    <col min="6917" max="6917" width="5.140625" style="27" bestFit="1" customWidth="1"/>
    <col min="6918" max="6918" width="6.85546875" style="27" customWidth="1"/>
    <col min="6919" max="6919" width="8.140625" style="27" bestFit="1" customWidth="1"/>
    <col min="6920" max="6920" width="8.85546875" style="27"/>
    <col min="6921" max="6921" width="9.42578125" style="27" bestFit="1" customWidth="1"/>
    <col min="6922" max="6922" width="8.85546875" style="27"/>
    <col min="6923" max="6923" width="10.5703125" style="27" customWidth="1"/>
    <col min="6924" max="6924" width="8.85546875" style="27"/>
    <col min="6925" max="6925" width="22.140625" style="27" bestFit="1" customWidth="1"/>
    <col min="6926" max="6931" width="8.85546875" style="27"/>
    <col min="6932" max="6932" width="38.5703125" style="27" customWidth="1"/>
    <col min="6933" max="6933" width="28" style="27" bestFit="1" customWidth="1"/>
    <col min="6934" max="6934" width="11.5703125" style="27" customWidth="1"/>
    <col min="6935" max="7153" width="8.85546875" style="27"/>
    <col min="7154" max="7154" width="22.140625" style="27" bestFit="1" customWidth="1"/>
    <col min="7155" max="7155" width="6.85546875" style="27" customWidth="1"/>
    <col min="7156" max="7156" width="7.140625" style="27" customWidth="1"/>
    <col min="7157" max="7157" width="10.42578125" style="27" customWidth="1"/>
    <col min="7158" max="7162" width="8.85546875" style="27"/>
    <col min="7163" max="7163" width="22.140625" style="27" bestFit="1" customWidth="1"/>
    <col min="7164" max="7164" width="5.140625" style="27" bestFit="1" customWidth="1"/>
    <col min="7165" max="7165" width="7.140625" style="27" customWidth="1"/>
    <col min="7166" max="7166" width="11.42578125" style="27" customWidth="1"/>
    <col min="7167" max="7169" width="8.85546875" style="27"/>
    <col min="7170" max="7170" width="9.85546875" style="27" customWidth="1"/>
    <col min="7171" max="7171" width="8.85546875" style="27"/>
    <col min="7172" max="7172" width="22.42578125" style="27" customWidth="1"/>
    <col min="7173" max="7173" width="5.140625" style="27" bestFit="1" customWidth="1"/>
    <col min="7174" max="7174" width="6.85546875" style="27" customWidth="1"/>
    <col min="7175" max="7175" width="8.140625" style="27" bestFit="1" customWidth="1"/>
    <col min="7176" max="7176" width="8.85546875" style="27"/>
    <col min="7177" max="7177" width="9.42578125" style="27" bestFit="1" customWidth="1"/>
    <col min="7178" max="7178" width="8.85546875" style="27"/>
    <col min="7179" max="7179" width="10.5703125" style="27" customWidth="1"/>
    <col min="7180" max="7180" width="8.85546875" style="27"/>
    <col min="7181" max="7181" width="22.140625" style="27" bestFit="1" customWidth="1"/>
    <col min="7182" max="7187" width="8.85546875" style="27"/>
    <col min="7188" max="7188" width="38.5703125" style="27" customWidth="1"/>
    <col min="7189" max="7189" width="28" style="27" bestFit="1" customWidth="1"/>
    <col min="7190" max="7190" width="11.5703125" style="27" customWidth="1"/>
    <col min="7191" max="7409" width="8.85546875" style="27"/>
    <col min="7410" max="7410" width="22.140625" style="27" bestFit="1" customWidth="1"/>
    <col min="7411" max="7411" width="6.85546875" style="27" customWidth="1"/>
    <col min="7412" max="7412" width="7.140625" style="27" customWidth="1"/>
    <col min="7413" max="7413" width="10.42578125" style="27" customWidth="1"/>
    <col min="7414" max="7418" width="8.85546875" style="27"/>
    <col min="7419" max="7419" width="22.140625" style="27" bestFit="1" customWidth="1"/>
    <col min="7420" max="7420" width="5.140625" style="27" bestFit="1" customWidth="1"/>
    <col min="7421" max="7421" width="7.140625" style="27" customWidth="1"/>
    <col min="7422" max="7422" width="11.42578125" style="27" customWidth="1"/>
    <col min="7423" max="7425" width="8.85546875" style="27"/>
    <col min="7426" max="7426" width="9.85546875" style="27" customWidth="1"/>
    <col min="7427" max="7427" width="8.85546875" style="27"/>
    <col min="7428" max="7428" width="22.42578125" style="27" customWidth="1"/>
    <col min="7429" max="7429" width="5.140625" style="27" bestFit="1" customWidth="1"/>
    <col min="7430" max="7430" width="6.85546875" style="27" customWidth="1"/>
    <col min="7431" max="7431" width="8.140625" style="27" bestFit="1" customWidth="1"/>
    <col min="7432" max="7432" width="8.85546875" style="27"/>
    <col min="7433" max="7433" width="9.42578125" style="27" bestFit="1" customWidth="1"/>
    <col min="7434" max="7434" width="8.85546875" style="27"/>
    <col min="7435" max="7435" width="10.5703125" style="27" customWidth="1"/>
    <col min="7436" max="7436" width="8.85546875" style="27"/>
    <col min="7437" max="7437" width="22.140625" style="27" bestFit="1" customWidth="1"/>
    <col min="7438" max="7443" width="8.85546875" style="27"/>
    <col min="7444" max="7444" width="38.5703125" style="27" customWidth="1"/>
    <col min="7445" max="7445" width="28" style="27" bestFit="1" customWidth="1"/>
    <col min="7446" max="7446" width="11.5703125" style="27" customWidth="1"/>
    <col min="7447" max="7665" width="8.85546875" style="27"/>
    <col min="7666" max="7666" width="22.140625" style="27" bestFit="1" customWidth="1"/>
    <col min="7667" max="7667" width="6.85546875" style="27" customWidth="1"/>
    <col min="7668" max="7668" width="7.140625" style="27" customWidth="1"/>
    <col min="7669" max="7669" width="10.42578125" style="27" customWidth="1"/>
    <col min="7670" max="7674" width="8.85546875" style="27"/>
    <col min="7675" max="7675" width="22.140625" style="27" bestFit="1" customWidth="1"/>
    <col min="7676" max="7676" width="5.140625" style="27" bestFit="1" customWidth="1"/>
    <col min="7677" max="7677" width="7.140625" style="27" customWidth="1"/>
    <col min="7678" max="7678" width="11.42578125" style="27" customWidth="1"/>
    <col min="7679" max="7681" width="8.85546875" style="27"/>
    <col min="7682" max="7682" width="9.85546875" style="27" customWidth="1"/>
    <col min="7683" max="7683" width="8.85546875" style="27"/>
    <col min="7684" max="7684" width="22.42578125" style="27" customWidth="1"/>
    <col min="7685" max="7685" width="5.140625" style="27" bestFit="1" customWidth="1"/>
    <col min="7686" max="7686" width="6.85546875" style="27" customWidth="1"/>
    <col min="7687" max="7687" width="8.140625" style="27" bestFit="1" customWidth="1"/>
    <col min="7688" max="7688" width="8.85546875" style="27"/>
    <col min="7689" max="7689" width="9.42578125" style="27" bestFit="1" customWidth="1"/>
    <col min="7690" max="7690" width="8.85546875" style="27"/>
    <col min="7691" max="7691" width="10.5703125" style="27" customWidth="1"/>
    <col min="7692" max="7692" width="8.85546875" style="27"/>
    <col min="7693" max="7693" width="22.140625" style="27" bestFit="1" customWidth="1"/>
    <col min="7694" max="7699" width="8.85546875" style="27"/>
    <col min="7700" max="7700" width="38.5703125" style="27" customWidth="1"/>
    <col min="7701" max="7701" width="28" style="27" bestFit="1" customWidth="1"/>
    <col min="7702" max="7702" width="11.5703125" style="27" customWidth="1"/>
    <col min="7703" max="7921" width="8.85546875" style="27"/>
    <col min="7922" max="7922" width="22.140625" style="27" bestFit="1" customWidth="1"/>
    <col min="7923" max="7923" width="6.85546875" style="27" customWidth="1"/>
    <col min="7924" max="7924" width="7.140625" style="27" customWidth="1"/>
    <col min="7925" max="7925" width="10.42578125" style="27" customWidth="1"/>
    <col min="7926" max="7930" width="8.85546875" style="27"/>
    <col min="7931" max="7931" width="22.140625" style="27" bestFit="1" customWidth="1"/>
    <col min="7932" max="7932" width="5.140625" style="27" bestFit="1" customWidth="1"/>
    <col min="7933" max="7933" width="7.140625" style="27" customWidth="1"/>
    <col min="7934" max="7934" width="11.42578125" style="27" customWidth="1"/>
    <col min="7935" max="7937" width="8.85546875" style="27"/>
    <col min="7938" max="7938" width="9.85546875" style="27" customWidth="1"/>
    <col min="7939" max="7939" width="8.85546875" style="27"/>
    <col min="7940" max="7940" width="22.42578125" style="27" customWidth="1"/>
    <col min="7941" max="7941" width="5.140625" style="27" bestFit="1" customWidth="1"/>
    <col min="7942" max="7942" width="6.85546875" style="27" customWidth="1"/>
    <col min="7943" max="7943" width="8.140625" style="27" bestFit="1" customWidth="1"/>
    <col min="7944" max="7944" width="8.85546875" style="27"/>
    <col min="7945" max="7945" width="9.42578125" style="27" bestFit="1" customWidth="1"/>
    <col min="7946" max="7946" width="8.85546875" style="27"/>
    <col min="7947" max="7947" width="10.5703125" style="27" customWidth="1"/>
    <col min="7948" max="7948" width="8.85546875" style="27"/>
    <col min="7949" max="7949" width="22.140625" style="27" bestFit="1" customWidth="1"/>
    <col min="7950" max="7955" width="8.85546875" style="27"/>
    <col min="7956" max="7956" width="38.5703125" style="27" customWidth="1"/>
    <col min="7957" max="7957" width="28" style="27" bestFit="1" customWidth="1"/>
    <col min="7958" max="7958" width="11.5703125" style="27" customWidth="1"/>
    <col min="7959" max="8177" width="8.85546875" style="27"/>
    <col min="8178" max="8178" width="22.140625" style="27" bestFit="1" customWidth="1"/>
    <col min="8179" max="8179" width="6.85546875" style="27" customWidth="1"/>
    <col min="8180" max="8180" width="7.140625" style="27" customWidth="1"/>
    <col min="8181" max="8181" width="10.42578125" style="27" customWidth="1"/>
    <col min="8182" max="8186" width="8.85546875" style="27"/>
    <col min="8187" max="8187" width="22.140625" style="27" bestFit="1" customWidth="1"/>
    <col min="8188" max="8188" width="5.140625" style="27" bestFit="1" customWidth="1"/>
    <col min="8189" max="8189" width="7.140625" style="27" customWidth="1"/>
    <col min="8190" max="8190" width="11.42578125" style="27" customWidth="1"/>
    <col min="8191" max="8193" width="8.85546875" style="27"/>
    <col min="8194" max="8194" width="9.85546875" style="27" customWidth="1"/>
    <col min="8195" max="8195" width="8.85546875" style="27"/>
    <col min="8196" max="8196" width="22.42578125" style="27" customWidth="1"/>
    <col min="8197" max="8197" width="5.140625" style="27" bestFit="1" customWidth="1"/>
    <col min="8198" max="8198" width="6.85546875" style="27" customWidth="1"/>
    <col min="8199" max="8199" width="8.140625" style="27" bestFit="1" customWidth="1"/>
    <col min="8200" max="8200" width="8.85546875" style="27"/>
    <col min="8201" max="8201" width="9.42578125" style="27" bestFit="1" customWidth="1"/>
    <col min="8202" max="8202" width="8.85546875" style="27"/>
    <col min="8203" max="8203" width="10.5703125" style="27" customWidth="1"/>
    <col min="8204" max="8204" width="8.85546875" style="27"/>
    <col min="8205" max="8205" width="22.140625" style="27" bestFit="1" customWidth="1"/>
    <col min="8206" max="8211" width="8.85546875" style="27"/>
    <col min="8212" max="8212" width="38.5703125" style="27" customWidth="1"/>
    <col min="8213" max="8213" width="28" style="27" bestFit="1" customWidth="1"/>
    <col min="8214" max="8214" width="11.5703125" style="27" customWidth="1"/>
    <col min="8215" max="8433" width="8.85546875" style="27"/>
    <col min="8434" max="8434" width="22.140625" style="27" bestFit="1" customWidth="1"/>
    <col min="8435" max="8435" width="6.85546875" style="27" customWidth="1"/>
    <col min="8436" max="8436" width="7.140625" style="27" customWidth="1"/>
    <col min="8437" max="8437" width="10.42578125" style="27" customWidth="1"/>
    <col min="8438" max="8442" width="8.85546875" style="27"/>
    <col min="8443" max="8443" width="22.140625" style="27" bestFit="1" customWidth="1"/>
    <col min="8444" max="8444" width="5.140625" style="27" bestFit="1" customWidth="1"/>
    <col min="8445" max="8445" width="7.140625" style="27" customWidth="1"/>
    <col min="8446" max="8446" width="11.42578125" style="27" customWidth="1"/>
    <col min="8447" max="8449" width="8.85546875" style="27"/>
    <col min="8450" max="8450" width="9.85546875" style="27" customWidth="1"/>
    <col min="8451" max="8451" width="8.85546875" style="27"/>
    <col min="8452" max="8452" width="22.42578125" style="27" customWidth="1"/>
    <col min="8453" max="8453" width="5.140625" style="27" bestFit="1" customWidth="1"/>
    <col min="8454" max="8454" width="6.85546875" style="27" customWidth="1"/>
    <col min="8455" max="8455" width="8.140625" style="27" bestFit="1" customWidth="1"/>
    <col min="8456" max="8456" width="8.85546875" style="27"/>
    <col min="8457" max="8457" width="9.42578125" style="27" bestFit="1" customWidth="1"/>
    <col min="8458" max="8458" width="8.85546875" style="27"/>
    <col min="8459" max="8459" width="10.5703125" style="27" customWidth="1"/>
    <col min="8460" max="8460" width="8.85546875" style="27"/>
    <col min="8461" max="8461" width="22.140625" style="27" bestFit="1" customWidth="1"/>
    <col min="8462" max="8467" width="8.85546875" style="27"/>
    <col min="8468" max="8468" width="38.5703125" style="27" customWidth="1"/>
    <col min="8469" max="8469" width="28" style="27" bestFit="1" customWidth="1"/>
    <col min="8470" max="8470" width="11.5703125" style="27" customWidth="1"/>
    <col min="8471" max="8689" width="8.85546875" style="27"/>
    <col min="8690" max="8690" width="22.140625" style="27" bestFit="1" customWidth="1"/>
    <col min="8691" max="8691" width="6.85546875" style="27" customWidth="1"/>
    <col min="8692" max="8692" width="7.140625" style="27" customWidth="1"/>
    <col min="8693" max="8693" width="10.42578125" style="27" customWidth="1"/>
    <col min="8694" max="8698" width="8.85546875" style="27"/>
    <col min="8699" max="8699" width="22.140625" style="27" bestFit="1" customWidth="1"/>
    <col min="8700" max="8700" width="5.140625" style="27" bestFit="1" customWidth="1"/>
    <col min="8701" max="8701" width="7.140625" style="27" customWidth="1"/>
    <col min="8702" max="8702" width="11.42578125" style="27" customWidth="1"/>
    <col min="8703" max="8705" width="8.85546875" style="27"/>
    <col min="8706" max="8706" width="9.85546875" style="27" customWidth="1"/>
    <col min="8707" max="8707" width="8.85546875" style="27"/>
    <col min="8708" max="8708" width="22.42578125" style="27" customWidth="1"/>
    <col min="8709" max="8709" width="5.140625" style="27" bestFit="1" customWidth="1"/>
    <col min="8710" max="8710" width="6.85546875" style="27" customWidth="1"/>
    <col min="8711" max="8711" width="8.140625" style="27" bestFit="1" customWidth="1"/>
    <col min="8712" max="8712" width="8.85546875" style="27"/>
    <col min="8713" max="8713" width="9.42578125" style="27" bestFit="1" customWidth="1"/>
    <col min="8714" max="8714" width="8.85546875" style="27"/>
    <col min="8715" max="8715" width="10.5703125" style="27" customWidth="1"/>
    <col min="8716" max="8716" width="8.85546875" style="27"/>
    <col min="8717" max="8717" width="22.140625" style="27" bestFit="1" customWidth="1"/>
    <col min="8718" max="8723" width="8.85546875" style="27"/>
    <col min="8724" max="8724" width="38.5703125" style="27" customWidth="1"/>
    <col min="8725" max="8725" width="28" style="27" bestFit="1" customWidth="1"/>
    <col min="8726" max="8726" width="11.5703125" style="27" customWidth="1"/>
    <col min="8727" max="8945" width="8.85546875" style="27"/>
    <col min="8946" max="8946" width="22.140625" style="27" bestFit="1" customWidth="1"/>
    <col min="8947" max="8947" width="6.85546875" style="27" customWidth="1"/>
    <col min="8948" max="8948" width="7.140625" style="27" customWidth="1"/>
    <col min="8949" max="8949" width="10.42578125" style="27" customWidth="1"/>
    <col min="8950" max="8954" width="8.85546875" style="27"/>
    <col min="8955" max="8955" width="22.140625" style="27" bestFit="1" customWidth="1"/>
    <col min="8956" max="8956" width="5.140625" style="27" bestFit="1" customWidth="1"/>
    <col min="8957" max="8957" width="7.140625" style="27" customWidth="1"/>
    <col min="8958" max="8958" width="11.42578125" style="27" customWidth="1"/>
    <col min="8959" max="8961" width="8.85546875" style="27"/>
    <col min="8962" max="8962" width="9.85546875" style="27" customWidth="1"/>
    <col min="8963" max="8963" width="8.85546875" style="27"/>
    <col min="8964" max="8964" width="22.42578125" style="27" customWidth="1"/>
    <col min="8965" max="8965" width="5.140625" style="27" bestFit="1" customWidth="1"/>
    <col min="8966" max="8966" width="6.85546875" style="27" customWidth="1"/>
    <col min="8967" max="8967" width="8.140625" style="27" bestFit="1" customWidth="1"/>
    <col min="8968" max="8968" width="8.85546875" style="27"/>
    <col min="8969" max="8969" width="9.42578125" style="27" bestFit="1" customWidth="1"/>
    <col min="8970" max="8970" width="8.85546875" style="27"/>
    <col min="8971" max="8971" width="10.5703125" style="27" customWidth="1"/>
    <col min="8972" max="8972" width="8.85546875" style="27"/>
    <col min="8973" max="8973" width="22.140625" style="27" bestFit="1" customWidth="1"/>
    <col min="8974" max="8979" width="8.85546875" style="27"/>
    <col min="8980" max="8980" width="38.5703125" style="27" customWidth="1"/>
    <col min="8981" max="8981" width="28" style="27" bestFit="1" customWidth="1"/>
    <col min="8982" max="8982" width="11.5703125" style="27" customWidth="1"/>
    <col min="8983" max="9201" width="8.85546875" style="27"/>
    <col min="9202" max="9202" width="22.140625" style="27" bestFit="1" customWidth="1"/>
    <col min="9203" max="9203" width="6.85546875" style="27" customWidth="1"/>
    <col min="9204" max="9204" width="7.140625" style="27" customWidth="1"/>
    <col min="9205" max="9205" width="10.42578125" style="27" customWidth="1"/>
    <col min="9206" max="9210" width="8.85546875" style="27"/>
    <col min="9211" max="9211" width="22.140625" style="27" bestFit="1" customWidth="1"/>
    <col min="9212" max="9212" width="5.140625" style="27" bestFit="1" customWidth="1"/>
    <col min="9213" max="9213" width="7.140625" style="27" customWidth="1"/>
    <col min="9214" max="9214" width="11.42578125" style="27" customWidth="1"/>
    <col min="9215" max="9217" width="8.85546875" style="27"/>
    <col min="9218" max="9218" width="9.85546875" style="27" customWidth="1"/>
    <col min="9219" max="9219" width="8.85546875" style="27"/>
    <col min="9220" max="9220" width="22.42578125" style="27" customWidth="1"/>
    <col min="9221" max="9221" width="5.140625" style="27" bestFit="1" customWidth="1"/>
    <col min="9222" max="9222" width="6.85546875" style="27" customWidth="1"/>
    <col min="9223" max="9223" width="8.140625" style="27" bestFit="1" customWidth="1"/>
    <col min="9224" max="9224" width="8.85546875" style="27"/>
    <col min="9225" max="9225" width="9.42578125" style="27" bestFit="1" customWidth="1"/>
    <col min="9226" max="9226" width="8.85546875" style="27"/>
    <col min="9227" max="9227" width="10.5703125" style="27" customWidth="1"/>
    <col min="9228" max="9228" width="8.85546875" style="27"/>
    <col min="9229" max="9229" width="22.140625" style="27" bestFit="1" customWidth="1"/>
    <col min="9230" max="9235" width="8.85546875" style="27"/>
    <col min="9236" max="9236" width="38.5703125" style="27" customWidth="1"/>
    <col min="9237" max="9237" width="28" style="27" bestFit="1" customWidth="1"/>
    <col min="9238" max="9238" width="11.5703125" style="27" customWidth="1"/>
    <col min="9239" max="9457" width="8.85546875" style="27"/>
    <col min="9458" max="9458" width="22.140625" style="27" bestFit="1" customWidth="1"/>
    <col min="9459" max="9459" width="6.85546875" style="27" customWidth="1"/>
    <col min="9460" max="9460" width="7.140625" style="27" customWidth="1"/>
    <col min="9461" max="9461" width="10.42578125" style="27" customWidth="1"/>
    <col min="9462" max="9466" width="8.85546875" style="27"/>
    <col min="9467" max="9467" width="22.140625" style="27" bestFit="1" customWidth="1"/>
    <col min="9468" max="9468" width="5.140625" style="27" bestFit="1" customWidth="1"/>
    <col min="9469" max="9469" width="7.140625" style="27" customWidth="1"/>
    <col min="9470" max="9470" width="11.42578125" style="27" customWidth="1"/>
    <col min="9471" max="9473" width="8.85546875" style="27"/>
    <col min="9474" max="9474" width="9.85546875" style="27" customWidth="1"/>
    <col min="9475" max="9475" width="8.85546875" style="27"/>
    <col min="9476" max="9476" width="22.42578125" style="27" customWidth="1"/>
    <col min="9477" max="9477" width="5.140625" style="27" bestFit="1" customWidth="1"/>
    <col min="9478" max="9478" width="6.85546875" style="27" customWidth="1"/>
    <col min="9479" max="9479" width="8.140625" style="27" bestFit="1" customWidth="1"/>
    <col min="9480" max="9480" width="8.85546875" style="27"/>
    <col min="9481" max="9481" width="9.42578125" style="27" bestFit="1" customWidth="1"/>
    <col min="9482" max="9482" width="8.85546875" style="27"/>
    <col min="9483" max="9483" width="10.5703125" style="27" customWidth="1"/>
    <col min="9484" max="9484" width="8.85546875" style="27"/>
    <col min="9485" max="9485" width="22.140625" style="27" bestFit="1" customWidth="1"/>
    <col min="9486" max="9491" width="8.85546875" style="27"/>
    <col min="9492" max="9492" width="38.5703125" style="27" customWidth="1"/>
    <col min="9493" max="9493" width="28" style="27" bestFit="1" customWidth="1"/>
    <col min="9494" max="9494" width="11.5703125" style="27" customWidth="1"/>
    <col min="9495" max="9713" width="8.85546875" style="27"/>
    <col min="9714" max="9714" width="22.140625" style="27" bestFit="1" customWidth="1"/>
    <col min="9715" max="9715" width="6.85546875" style="27" customWidth="1"/>
    <col min="9716" max="9716" width="7.140625" style="27" customWidth="1"/>
    <col min="9717" max="9717" width="10.42578125" style="27" customWidth="1"/>
    <col min="9718" max="9722" width="8.85546875" style="27"/>
    <col min="9723" max="9723" width="22.140625" style="27" bestFit="1" customWidth="1"/>
    <col min="9724" max="9724" width="5.140625" style="27" bestFit="1" customWidth="1"/>
    <col min="9725" max="9725" width="7.140625" style="27" customWidth="1"/>
    <col min="9726" max="9726" width="11.42578125" style="27" customWidth="1"/>
    <col min="9727" max="9729" width="8.85546875" style="27"/>
    <col min="9730" max="9730" width="9.85546875" style="27" customWidth="1"/>
    <col min="9731" max="9731" width="8.85546875" style="27"/>
    <col min="9732" max="9732" width="22.42578125" style="27" customWidth="1"/>
    <col min="9733" max="9733" width="5.140625" style="27" bestFit="1" customWidth="1"/>
    <col min="9734" max="9734" width="6.85546875" style="27" customWidth="1"/>
    <col min="9735" max="9735" width="8.140625" style="27" bestFit="1" customWidth="1"/>
    <col min="9736" max="9736" width="8.85546875" style="27"/>
    <col min="9737" max="9737" width="9.42578125" style="27" bestFit="1" customWidth="1"/>
    <col min="9738" max="9738" width="8.85546875" style="27"/>
    <col min="9739" max="9739" width="10.5703125" style="27" customWidth="1"/>
    <col min="9740" max="9740" width="8.85546875" style="27"/>
    <col min="9741" max="9741" width="22.140625" style="27" bestFit="1" customWidth="1"/>
    <col min="9742" max="9747" width="8.85546875" style="27"/>
    <col min="9748" max="9748" width="38.5703125" style="27" customWidth="1"/>
    <col min="9749" max="9749" width="28" style="27" bestFit="1" customWidth="1"/>
    <col min="9750" max="9750" width="11.5703125" style="27" customWidth="1"/>
    <col min="9751" max="9969" width="8.85546875" style="27"/>
    <col min="9970" max="9970" width="22.140625" style="27" bestFit="1" customWidth="1"/>
    <col min="9971" max="9971" width="6.85546875" style="27" customWidth="1"/>
    <col min="9972" max="9972" width="7.140625" style="27" customWidth="1"/>
    <col min="9973" max="9973" width="10.42578125" style="27" customWidth="1"/>
    <col min="9974" max="9978" width="8.85546875" style="27"/>
    <col min="9979" max="9979" width="22.140625" style="27" bestFit="1" customWidth="1"/>
    <col min="9980" max="9980" width="5.140625" style="27" bestFit="1" customWidth="1"/>
    <col min="9981" max="9981" width="7.140625" style="27" customWidth="1"/>
    <col min="9982" max="9982" width="11.42578125" style="27" customWidth="1"/>
    <col min="9983" max="9985" width="8.85546875" style="27"/>
    <col min="9986" max="9986" width="9.85546875" style="27" customWidth="1"/>
    <col min="9987" max="9987" width="8.85546875" style="27"/>
    <col min="9988" max="9988" width="22.42578125" style="27" customWidth="1"/>
    <col min="9989" max="9989" width="5.140625" style="27" bestFit="1" customWidth="1"/>
    <col min="9990" max="9990" width="6.85546875" style="27" customWidth="1"/>
    <col min="9991" max="9991" width="8.140625" style="27" bestFit="1" customWidth="1"/>
    <col min="9992" max="9992" width="8.85546875" style="27"/>
    <col min="9993" max="9993" width="9.42578125" style="27" bestFit="1" customWidth="1"/>
    <col min="9994" max="9994" width="8.85546875" style="27"/>
    <col min="9995" max="9995" width="10.5703125" style="27" customWidth="1"/>
    <col min="9996" max="9996" width="8.85546875" style="27"/>
    <col min="9997" max="9997" width="22.140625" style="27" bestFit="1" customWidth="1"/>
    <col min="9998" max="10003" width="8.85546875" style="27"/>
    <col min="10004" max="10004" width="38.5703125" style="27" customWidth="1"/>
    <col min="10005" max="10005" width="28" style="27" bestFit="1" customWidth="1"/>
    <col min="10006" max="10006" width="11.5703125" style="27" customWidth="1"/>
    <col min="10007" max="10225" width="8.85546875" style="27"/>
    <col min="10226" max="10226" width="22.140625" style="27" bestFit="1" customWidth="1"/>
    <col min="10227" max="10227" width="6.85546875" style="27" customWidth="1"/>
    <col min="10228" max="10228" width="7.140625" style="27" customWidth="1"/>
    <col min="10229" max="10229" width="10.42578125" style="27" customWidth="1"/>
    <col min="10230" max="10234" width="8.85546875" style="27"/>
    <col min="10235" max="10235" width="22.140625" style="27" bestFit="1" customWidth="1"/>
    <col min="10236" max="10236" width="5.140625" style="27" bestFit="1" customWidth="1"/>
    <col min="10237" max="10237" width="7.140625" style="27" customWidth="1"/>
    <col min="10238" max="10238" width="11.42578125" style="27" customWidth="1"/>
    <col min="10239" max="10241" width="8.85546875" style="27"/>
    <col min="10242" max="10242" width="9.85546875" style="27" customWidth="1"/>
    <col min="10243" max="10243" width="8.85546875" style="27"/>
    <col min="10244" max="10244" width="22.42578125" style="27" customWidth="1"/>
    <col min="10245" max="10245" width="5.140625" style="27" bestFit="1" customWidth="1"/>
    <col min="10246" max="10246" width="6.85546875" style="27" customWidth="1"/>
    <col min="10247" max="10247" width="8.140625" style="27" bestFit="1" customWidth="1"/>
    <col min="10248" max="10248" width="8.85546875" style="27"/>
    <col min="10249" max="10249" width="9.42578125" style="27" bestFit="1" customWidth="1"/>
    <col min="10250" max="10250" width="8.85546875" style="27"/>
    <col min="10251" max="10251" width="10.5703125" style="27" customWidth="1"/>
    <col min="10252" max="10252" width="8.85546875" style="27"/>
    <col min="10253" max="10253" width="22.140625" style="27" bestFit="1" customWidth="1"/>
    <col min="10254" max="10259" width="8.85546875" style="27"/>
    <col min="10260" max="10260" width="38.5703125" style="27" customWidth="1"/>
    <col min="10261" max="10261" width="28" style="27" bestFit="1" customWidth="1"/>
    <col min="10262" max="10262" width="11.5703125" style="27" customWidth="1"/>
    <col min="10263" max="10481" width="8.85546875" style="27"/>
    <col min="10482" max="10482" width="22.140625" style="27" bestFit="1" customWidth="1"/>
    <col min="10483" max="10483" width="6.85546875" style="27" customWidth="1"/>
    <col min="10484" max="10484" width="7.140625" style="27" customWidth="1"/>
    <col min="10485" max="10485" width="10.42578125" style="27" customWidth="1"/>
    <col min="10486" max="10490" width="8.85546875" style="27"/>
    <col min="10491" max="10491" width="22.140625" style="27" bestFit="1" customWidth="1"/>
    <col min="10492" max="10492" width="5.140625" style="27" bestFit="1" customWidth="1"/>
    <col min="10493" max="10493" width="7.140625" style="27" customWidth="1"/>
    <col min="10494" max="10494" width="11.42578125" style="27" customWidth="1"/>
    <col min="10495" max="10497" width="8.85546875" style="27"/>
    <col min="10498" max="10498" width="9.85546875" style="27" customWidth="1"/>
    <col min="10499" max="10499" width="8.85546875" style="27"/>
    <col min="10500" max="10500" width="22.42578125" style="27" customWidth="1"/>
    <col min="10501" max="10501" width="5.140625" style="27" bestFit="1" customWidth="1"/>
    <col min="10502" max="10502" width="6.85546875" style="27" customWidth="1"/>
    <col min="10503" max="10503" width="8.140625" style="27" bestFit="1" customWidth="1"/>
    <col min="10504" max="10504" width="8.85546875" style="27"/>
    <col min="10505" max="10505" width="9.42578125" style="27" bestFit="1" customWidth="1"/>
    <col min="10506" max="10506" width="8.85546875" style="27"/>
    <col min="10507" max="10507" width="10.5703125" style="27" customWidth="1"/>
    <col min="10508" max="10508" width="8.85546875" style="27"/>
    <col min="10509" max="10509" width="22.140625" style="27" bestFit="1" customWidth="1"/>
    <col min="10510" max="10515" width="8.85546875" style="27"/>
    <col min="10516" max="10516" width="38.5703125" style="27" customWidth="1"/>
    <col min="10517" max="10517" width="28" style="27" bestFit="1" customWidth="1"/>
    <col min="10518" max="10518" width="11.5703125" style="27" customWidth="1"/>
    <col min="10519" max="10737" width="8.85546875" style="27"/>
    <col min="10738" max="10738" width="22.140625" style="27" bestFit="1" customWidth="1"/>
    <col min="10739" max="10739" width="6.85546875" style="27" customWidth="1"/>
    <col min="10740" max="10740" width="7.140625" style="27" customWidth="1"/>
    <col min="10741" max="10741" width="10.42578125" style="27" customWidth="1"/>
    <col min="10742" max="10746" width="8.85546875" style="27"/>
    <col min="10747" max="10747" width="22.140625" style="27" bestFit="1" customWidth="1"/>
    <col min="10748" max="10748" width="5.140625" style="27" bestFit="1" customWidth="1"/>
    <col min="10749" max="10749" width="7.140625" style="27" customWidth="1"/>
    <col min="10750" max="10750" width="11.42578125" style="27" customWidth="1"/>
    <col min="10751" max="10753" width="8.85546875" style="27"/>
    <col min="10754" max="10754" width="9.85546875" style="27" customWidth="1"/>
    <col min="10755" max="10755" width="8.85546875" style="27"/>
    <col min="10756" max="10756" width="22.42578125" style="27" customWidth="1"/>
    <col min="10757" max="10757" width="5.140625" style="27" bestFit="1" customWidth="1"/>
    <col min="10758" max="10758" width="6.85546875" style="27" customWidth="1"/>
    <col min="10759" max="10759" width="8.140625" style="27" bestFit="1" customWidth="1"/>
    <col min="10760" max="10760" width="8.85546875" style="27"/>
    <col min="10761" max="10761" width="9.42578125" style="27" bestFit="1" customWidth="1"/>
    <col min="10762" max="10762" width="8.85546875" style="27"/>
    <col min="10763" max="10763" width="10.5703125" style="27" customWidth="1"/>
    <col min="10764" max="10764" width="8.85546875" style="27"/>
    <col min="10765" max="10765" width="22.140625" style="27" bestFit="1" customWidth="1"/>
    <col min="10766" max="10771" width="8.85546875" style="27"/>
    <col min="10772" max="10772" width="38.5703125" style="27" customWidth="1"/>
    <col min="10773" max="10773" width="28" style="27" bestFit="1" customWidth="1"/>
    <col min="10774" max="10774" width="11.5703125" style="27" customWidth="1"/>
    <col min="10775" max="10993" width="8.85546875" style="27"/>
    <col min="10994" max="10994" width="22.140625" style="27" bestFit="1" customWidth="1"/>
    <col min="10995" max="10995" width="6.85546875" style="27" customWidth="1"/>
    <col min="10996" max="10996" width="7.140625" style="27" customWidth="1"/>
    <col min="10997" max="10997" width="10.42578125" style="27" customWidth="1"/>
    <col min="10998" max="11002" width="8.85546875" style="27"/>
    <col min="11003" max="11003" width="22.140625" style="27" bestFit="1" customWidth="1"/>
    <col min="11004" max="11004" width="5.140625" style="27" bestFit="1" customWidth="1"/>
    <col min="11005" max="11005" width="7.140625" style="27" customWidth="1"/>
    <col min="11006" max="11006" width="11.42578125" style="27" customWidth="1"/>
    <col min="11007" max="11009" width="8.85546875" style="27"/>
    <col min="11010" max="11010" width="9.85546875" style="27" customWidth="1"/>
    <col min="11011" max="11011" width="8.85546875" style="27"/>
    <col min="11012" max="11012" width="22.42578125" style="27" customWidth="1"/>
    <col min="11013" max="11013" width="5.140625" style="27" bestFit="1" customWidth="1"/>
    <col min="11014" max="11014" width="6.85546875" style="27" customWidth="1"/>
    <col min="11015" max="11015" width="8.140625" style="27" bestFit="1" customWidth="1"/>
    <col min="11016" max="11016" width="8.85546875" style="27"/>
    <col min="11017" max="11017" width="9.42578125" style="27" bestFit="1" customWidth="1"/>
    <col min="11018" max="11018" width="8.85546875" style="27"/>
    <col min="11019" max="11019" width="10.5703125" style="27" customWidth="1"/>
    <col min="11020" max="11020" width="8.85546875" style="27"/>
    <col min="11021" max="11021" width="22.140625" style="27" bestFit="1" customWidth="1"/>
    <col min="11022" max="11027" width="8.85546875" style="27"/>
    <col min="11028" max="11028" width="38.5703125" style="27" customWidth="1"/>
    <col min="11029" max="11029" width="28" style="27" bestFit="1" customWidth="1"/>
    <col min="11030" max="11030" width="11.5703125" style="27" customWidth="1"/>
    <col min="11031" max="11249" width="8.85546875" style="27"/>
    <col min="11250" max="11250" width="22.140625" style="27" bestFit="1" customWidth="1"/>
    <col min="11251" max="11251" width="6.85546875" style="27" customWidth="1"/>
    <col min="11252" max="11252" width="7.140625" style="27" customWidth="1"/>
    <col min="11253" max="11253" width="10.42578125" style="27" customWidth="1"/>
    <col min="11254" max="11258" width="8.85546875" style="27"/>
    <col min="11259" max="11259" width="22.140625" style="27" bestFit="1" customWidth="1"/>
    <col min="11260" max="11260" width="5.140625" style="27" bestFit="1" customWidth="1"/>
    <col min="11261" max="11261" width="7.140625" style="27" customWidth="1"/>
    <col min="11262" max="11262" width="11.42578125" style="27" customWidth="1"/>
    <col min="11263" max="11265" width="8.85546875" style="27"/>
    <col min="11266" max="11266" width="9.85546875" style="27" customWidth="1"/>
    <col min="11267" max="11267" width="8.85546875" style="27"/>
    <col min="11268" max="11268" width="22.42578125" style="27" customWidth="1"/>
    <col min="11269" max="11269" width="5.140625" style="27" bestFit="1" customWidth="1"/>
    <col min="11270" max="11270" width="6.85546875" style="27" customWidth="1"/>
    <col min="11271" max="11271" width="8.140625" style="27" bestFit="1" customWidth="1"/>
    <col min="11272" max="11272" width="8.85546875" style="27"/>
    <col min="11273" max="11273" width="9.42578125" style="27" bestFit="1" customWidth="1"/>
    <col min="11274" max="11274" width="8.85546875" style="27"/>
    <col min="11275" max="11275" width="10.5703125" style="27" customWidth="1"/>
    <col min="11276" max="11276" width="8.85546875" style="27"/>
    <col min="11277" max="11277" width="22.140625" style="27" bestFit="1" customWidth="1"/>
    <col min="11278" max="11283" width="8.85546875" style="27"/>
    <col min="11284" max="11284" width="38.5703125" style="27" customWidth="1"/>
    <col min="11285" max="11285" width="28" style="27" bestFit="1" customWidth="1"/>
    <col min="11286" max="11286" width="11.5703125" style="27" customWidth="1"/>
    <col min="11287" max="11505" width="8.85546875" style="27"/>
    <col min="11506" max="11506" width="22.140625" style="27" bestFit="1" customWidth="1"/>
    <col min="11507" max="11507" width="6.85546875" style="27" customWidth="1"/>
    <col min="11508" max="11508" width="7.140625" style="27" customWidth="1"/>
    <col min="11509" max="11509" width="10.42578125" style="27" customWidth="1"/>
    <col min="11510" max="11514" width="8.85546875" style="27"/>
    <col min="11515" max="11515" width="22.140625" style="27" bestFit="1" customWidth="1"/>
    <col min="11516" max="11516" width="5.140625" style="27" bestFit="1" customWidth="1"/>
    <col min="11517" max="11517" width="7.140625" style="27" customWidth="1"/>
    <col min="11518" max="11518" width="11.42578125" style="27" customWidth="1"/>
    <col min="11519" max="11521" width="8.85546875" style="27"/>
    <col min="11522" max="11522" width="9.85546875" style="27" customWidth="1"/>
    <col min="11523" max="11523" width="8.85546875" style="27"/>
    <col min="11524" max="11524" width="22.42578125" style="27" customWidth="1"/>
    <col min="11525" max="11525" width="5.140625" style="27" bestFit="1" customWidth="1"/>
    <col min="11526" max="11526" width="6.85546875" style="27" customWidth="1"/>
    <col min="11527" max="11527" width="8.140625" style="27" bestFit="1" customWidth="1"/>
    <col min="11528" max="11528" width="8.85546875" style="27"/>
    <col min="11529" max="11529" width="9.42578125" style="27" bestFit="1" customWidth="1"/>
    <col min="11530" max="11530" width="8.85546875" style="27"/>
    <col min="11531" max="11531" width="10.5703125" style="27" customWidth="1"/>
    <col min="11532" max="11532" width="8.85546875" style="27"/>
    <col min="11533" max="11533" width="22.140625" style="27" bestFit="1" customWidth="1"/>
    <col min="11534" max="11539" width="8.85546875" style="27"/>
    <col min="11540" max="11540" width="38.5703125" style="27" customWidth="1"/>
    <col min="11541" max="11541" width="28" style="27" bestFit="1" customWidth="1"/>
    <col min="11542" max="11542" width="11.5703125" style="27" customWidth="1"/>
    <col min="11543" max="11761" width="8.85546875" style="27"/>
    <col min="11762" max="11762" width="22.140625" style="27" bestFit="1" customWidth="1"/>
    <col min="11763" max="11763" width="6.85546875" style="27" customWidth="1"/>
    <col min="11764" max="11764" width="7.140625" style="27" customWidth="1"/>
    <col min="11765" max="11765" width="10.42578125" style="27" customWidth="1"/>
    <col min="11766" max="11770" width="8.85546875" style="27"/>
    <col min="11771" max="11771" width="22.140625" style="27" bestFit="1" customWidth="1"/>
    <col min="11772" max="11772" width="5.140625" style="27" bestFit="1" customWidth="1"/>
    <col min="11773" max="11773" width="7.140625" style="27" customWidth="1"/>
    <col min="11774" max="11774" width="11.42578125" style="27" customWidth="1"/>
    <col min="11775" max="11777" width="8.85546875" style="27"/>
    <col min="11778" max="11778" width="9.85546875" style="27" customWidth="1"/>
    <col min="11779" max="11779" width="8.85546875" style="27"/>
    <col min="11780" max="11780" width="22.42578125" style="27" customWidth="1"/>
    <col min="11781" max="11781" width="5.140625" style="27" bestFit="1" customWidth="1"/>
    <col min="11782" max="11782" width="6.85546875" style="27" customWidth="1"/>
    <col min="11783" max="11783" width="8.140625" style="27" bestFit="1" customWidth="1"/>
    <col min="11784" max="11784" width="8.85546875" style="27"/>
    <col min="11785" max="11785" width="9.42578125" style="27" bestFit="1" customWidth="1"/>
    <col min="11786" max="11786" width="8.85546875" style="27"/>
    <col min="11787" max="11787" width="10.5703125" style="27" customWidth="1"/>
    <col min="11788" max="11788" width="8.85546875" style="27"/>
    <col min="11789" max="11789" width="22.140625" style="27" bestFit="1" customWidth="1"/>
    <col min="11790" max="11795" width="8.85546875" style="27"/>
    <col min="11796" max="11796" width="38.5703125" style="27" customWidth="1"/>
    <col min="11797" max="11797" width="28" style="27" bestFit="1" customWidth="1"/>
    <col min="11798" max="11798" width="11.5703125" style="27" customWidth="1"/>
    <col min="11799" max="12017" width="8.85546875" style="27"/>
    <col min="12018" max="12018" width="22.140625" style="27" bestFit="1" customWidth="1"/>
    <col min="12019" max="12019" width="6.85546875" style="27" customWidth="1"/>
    <col min="12020" max="12020" width="7.140625" style="27" customWidth="1"/>
    <col min="12021" max="12021" width="10.42578125" style="27" customWidth="1"/>
    <col min="12022" max="12026" width="8.85546875" style="27"/>
    <col min="12027" max="12027" width="22.140625" style="27" bestFit="1" customWidth="1"/>
    <col min="12028" max="12028" width="5.140625" style="27" bestFit="1" customWidth="1"/>
    <col min="12029" max="12029" width="7.140625" style="27" customWidth="1"/>
    <col min="12030" max="12030" width="11.42578125" style="27" customWidth="1"/>
    <col min="12031" max="12033" width="8.85546875" style="27"/>
    <col min="12034" max="12034" width="9.85546875" style="27" customWidth="1"/>
    <col min="12035" max="12035" width="8.85546875" style="27"/>
    <col min="12036" max="12036" width="22.42578125" style="27" customWidth="1"/>
    <col min="12037" max="12037" width="5.140625" style="27" bestFit="1" customWidth="1"/>
    <col min="12038" max="12038" width="6.85546875" style="27" customWidth="1"/>
    <col min="12039" max="12039" width="8.140625" style="27" bestFit="1" customWidth="1"/>
    <col min="12040" max="12040" width="8.85546875" style="27"/>
    <col min="12041" max="12041" width="9.42578125" style="27" bestFit="1" customWidth="1"/>
    <col min="12042" max="12042" width="8.85546875" style="27"/>
    <col min="12043" max="12043" width="10.5703125" style="27" customWidth="1"/>
    <col min="12044" max="12044" width="8.85546875" style="27"/>
    <col min="12045" max="12045" width="22.140625" style="27" bestFit="1" customWidth="1"/>
    <col min="12046" max="12051" width="8.85546875" style="27"/>
    <col min="12052" max="12052" width="38.5703125" style="27" customWidth="1"/>
    <col min="12053" max="12053" width="28" style="27" bestFit="1" customWidth="1"/>
    <col min="12054" max="12054" width="11.5703125" style="27" customWidth="1"/>
    <col min="12055" max="12273" width="8.85546875" style="27"/>
    <col min="12274" max="12274" width="22.140625" style="27" bestFit="1" customWidth="1"/>
    <col min="12275" max="12275" width="6.85546875" style="27" customWidth="1"/>
    <col min="12276" max="12276" width="7.140625" style="27" customWidth="1"/>
    <col min="12277" max="12277" width="10.42578125" style="27" customWidth="1"/>
    <col min="12278" max="12282" width="8.85546875" style="27"/>
    <col min="12283" max="12283" width="22.140625" style="27" bestFit="1" customWidth="1"/>
    <col min="12284" max="12284" width="5.140625" style="27" bestFit="1" customWidth="1"/>
    <col min="12285" max="12285" width="7.140625" style="27" customWidth="1"/>
    <col min="12286" max="12286" width="11.42578125" style="27" customWidth="1"/>
    <col min="12287" max="12289" width="8.85546875" style="27"/>
    <col min="12290" max="12290" width="9.85546875" style="27" customWidth="1"/>
    <col min="12291" max="12291" width="8.85546875" style="27"/>
    <col min="12292" max="12292" width="22.42578125" style="27" customWidth="1"/>
    <col min="12293" max="12293" width="5.140625" style="27" bestFit="1" customWidth="1"/>
    <col min="12294" max="12294" width="6.85546875" style="27" customWidth="1"/>
    <col min="12295" max="12295" width="8.140625" style="27" bestFit="1" customWidth="1"/>
    <col min="12296" max="12296" width="8.85546875" style="27"/>
    <col min="12297" max="12297" width="9.42578125" style="27" bestFit="1" customWidth="1"/>
    <col min="12298" max="12298" width="8.85546875" style="27"/>
    <col min="12299" max="12299" width="10.5703125" style="27" customWidth="1"/>
    <col min="12300" max="12300" width="8.85546875" style="27"/>
    <col min="12301" max="12301" width="22.140625" style="27" bestFit="1" customWidth="1"/>
    <col min="12302" max="12307" width="8.85546875" style="27"/>
    <col min="12308" max="12308" width="38.5703125" style="27" customWidth="1"/>
    <col min="12309" max="12309" width="28" style="27" bestFit="1" customWidth="1"/>
    <col min="12310" max="12310" width="11.5703125" style="27" customWidth="1"/>
    <col min="12311" max="12529" width="8.85546875" style="27"/>
    <col min="12530" max="12530" width="22.140625" style="27" bestFit="1" customWidth="1"/>
    <col min="12531" max="12531" width="6.85546875" style="27" customWidth="1"/>
    <col min="12532" max="12532" width="7.140625" style="27" customWidth="1"/>
    <col min="12533" max="12533" width="10.42578125" style="27" customWidth="1"/>
    <col min="12534" max="12538" width="8.85546875" style="27"/>
    <col min="12539" max="12539" width="22.140625" style="27" bestFit="1" customWidth="1"/>
    <col min="12540" max="12540" width="5.140625" style="27" bestFit="1" customWidth="1"/>
    <col min="12541" max="12541" width="7.140625" style="27" customWidth="1"/>
    <col min="12542" max="12542" width="11.42578125" style="27" customWidth="1"/>
    <col min="12543" max="12545" width="8.85546875" style="27"/>
    <col min="12546" max="12546" width="9.85546875" style="27" customWidth="1"/>
    <col min="12547" max="12547" width="8.85546875" style="27"/>
    <col min="12548" max="12548" width="22.42578125" style="27" customWidth="1"/>
    <col min="12549" max="12549" width="5.140625" style="27" bestFit="1" customWidth="1"/>
    <col min="12550" max="12550" width="6.85546875" style="27" customWidth="1"/>
    <col min="12551" max="12551" width="8.140625" style="27" bestFit="1" customWidth="1"/>
    <col min="12552" max="12552" width="8.85546875" style="27"/>
    <col min="12553" max="12553" width="9.42578125" style="27" bestFit="1" customWidth="1"/>
    <col min="12554" max="12554" width="8.85546875" style="27"/>
    <col min="12555" max="12555" width="10.5703125" style="27" customWidth="1"/>
    <col min="12556" max="12556" width="8.85546875" style="27"/>
    <col min="12557" max="12557" width="22.140625" style="27" bestFit="1" customWidth="1"/>
    <col min="12558" max="12563" width="8.85546875" style="27"/>
    <col min="12564" max="12564" width="38.5703125" style="27" customWidth="1"/>
    <col min="12565" max="12565" width="28" style="27" bestFit="1" customWidth="1"/>
    <col min="12566" max="12566" width="11.5703125" style="27" customWidth="1"/>
    <col min="12567" max="12785" width="8.85546875" style="27"/>
    <col min="12786" max="12786" width="22.140625" style="27" bestFit="1" customWidth="1"/>
    <col min="12787" max="12787" width="6.85546875" style="27" customWidth="1"/>
    <col min="12788" max="12788" width="7.140625" style="27" customWidth="1"/>
    <col min="12789" max="12789" width="10.42578125" style="27" customWidth="1"/>
    <col min="12790" max="12794" width="8.85546875" style="27"/>
    <col min="12795" max="12795" width="22.140625" style="27" bestFit="1" customWidth="1"/>
    <col min="12796" max="12796" width="5.140625" style="27" bestFit="1" customWidth="1"/>
    <col min="12797" max="12797" width="7.140625" style="27" customWidth="1"/>
    <col min="12798" max="12798" width="11.42578125" style="27" customWidth="1"/>
    <col min="12799" max="12801" width="8.85546875" style="27"/>
    <col min="12802" max="12802" width="9.85546875" style="27" customWidth="1"/>
    <col min="12803" max="12803" width="8.85546875" style="27"/>
    <col min="12804" max="12804" width="22.42578125" style="27" customWidth="1"/>
    <col min="12805" max="12805" width="5.140625" style="27" bestFit="1" customWidth="1"/>
    <col min="12806" max="12806" width="6.85546875" style="27" customWidth="1"/>
    <col min="12807" max="12807" width="8.140625" style="27" bestFit="1" customWidth="1"/>
    <col min="12808" max="12808" width="8.85546875" style="27"/>
    <col min="12809" max="12809" width="9.42578125" style="27" bestFit="1" customWidth="1"/>
    <col min="12810" max="12810" width="8.85546875" style="27"/>
    <col min="12811" max="12811" width="10.5703125" style="27" customWidth="1"/>
    <col min="12812" max="12812" width="8.85546875" style="27"/>
    <col min="12813" max="12813" width="22.140625" style="27" bestFit="1" customWidth="1"/>
    <col min="12814" max="12819" width="8.85546875" style="27"/>
    <col min="12820" max="12820" width="38.5703125" style="27" customWidth="1"/>
    <col min="12821" max="12821" width="28" style="27" bestFit="1" customWidth="1"/>
    <col min="12822" max="12822" width="11.5703125" style="27" customWidth="1"/>
    <col min="12823" max="13041" width="8.85546875" style="27"/>
    <col min="13042" max="13042" width="22.140625" style="27" bestFit="1" customWidth="1"/>
    <col min="13043" max="13043" width="6.85546875" style="27" customWidth="1"/>
    <col min="13044" max="13044" width="7.140625" style="27" customWidth="1"/>
    <col min="13045" max="13045" width="10.42578125" style="27" customWidth="1"/>
    <col min="13046" max="13050" width="8.85546875" style="27"/>
    <col min="13051" max="13051" width="22.140625" style="27" bestFit="1" customWidth="1"/>
    <col min="13052" max="13052" width="5.140625" style="27" bestFit="1" customWidth="1"/>
    <col min="13053" max="13053" width="7.140625" style="27" customWidth="1"/>
    <col min="13054" max="13054" width="11.42578125" style="27" customWidth="1"/>
    <col min="13055" max="13057" width="8.85546875" style="27"/>
    <col min="13058" max="13058" width="9.85546875" style="27" customWidth="1"/>
    <col min="13059" max="13059" width="8.85546875" style="27"/>
    <col min="13060" max="13060" width="22.42578125" style="27" customWidth="1"/>
    <col min="13061" max="13061" width="5.140625" style="27" bestFit="1" customWidth="1"/>
    <col min="13062" max="13062" width="6.85546875" style="27" customWidth="1"/>
    <col min="13063" max="13063" width="8.140625" style="27" bestFit="1" customWidth="1"/>
    <col min="13064" max="13064" width="8.85546875" style="27"/>
    <col min="13065" max="13065" width="9.42578125" style="27" bestFit="1" customWidth="1"/>
    <col min="13066" max="13066" width="8.85546875" style="27"/>
    <col min="13067" max="13067" width="10.5703125" style="27" customWidth="1"/>
    <col min="13068" max="13068" width="8.85546875" style="27"/>
    <col min="13069" max="13069" width="22.140625" style="27" bestFit="1" customWidth="1"/>
    <col min="13070" max="13075" width="8.85546875" style="27"/>
    <col min="13076" max="13076" width="38.5703125" style="27" customWidth="1"/>
    <col min="13077" max="13077" width="28" style="27" bestFit="1" customWidth="1"/>
    <col min="13078" max="13078" width="11.5703125" style="27" customWidth="1"/>
    <col min="13079" max="13297" width="8.85546875" style="27"/>
    <col min="13298" max="13298" width="22.140625" style="27" bestFit="1" customWidth="1"/>
    <col min="13299" max="13299" width="6.85546875" style="27" customWidth="1"/>
    <col min="13300" max="13300" width="7.140625" style="27" customWidth="1"/>
    <col min="13301" max="13301" width="10.42578125" style="27" customWidth="1"/>
    <col min="13302" max="13306" width="8.85546875" style="27"/>
    <col min="13307" max="13307" width="22.140625" style="27" bestFit="1" customWidth="1"/>
    <col min="13308" max="13308" width="5.140625" style="27" bestFit="1" customWidth="1"/>
    <col min="13309" max="13309" width="7.140625" style="27" customWidth="1"/>
    <col min="13310" max="13310" width="11.42578125" style="27" customWidth="1"/>
    <col min="13311" max="13313" width="8.85546875" style="27"/>
    <col min="13314" max="13314" width="9.85546875" style="27" customWidth="1"/>
    <col min="13315" max="13315" width="8.85546875" style="27"/>
    <col min="13316" max="13316" width="22.42578125" style="27" customWidth="1"/>
    <col min="13317" max="13317" width="5.140625" style="27" bestFit="1" customWidth="1"/>
    <col min="13318" max="13318" width="6.85546875" style="27" customWidth="1"/>
    <col min="13319" max="13319" width="8.140625" style="27" bestFit="1" customWidth="1"/>
    <col min="13320" max="13320" width="8.85546875" style="27"/>
    <col min="13321" max="13321" width="9.42578125" style="27" bestFit="1" customWidth="1"/>
    <col min="13322" max="13322" width="8.85546875" style="27"/>
    <col min="13323" max="13323" width="10.5703125" style="27" customWidth="1"/>
    <col min="13324" max="13324" width="8.85546875" style="27"/>
    <col min="13325" max="13325" width="22.140625" style="27" bestFit="1" customWidth="1"/>
    <col min="13326" max="13331" width="8.85546875" style="27"/>
    <col min="13332" max="13332" width="38.5703125" style="27" customWidth="1"/>
    <col min="13333" max="13333" width="28" style="27" bestFit="1" customWidth="1"/>
    <col min="13334" max="13334" width="11.5703125" style="27" customWidth="1"/>
    <col min="13335" max="13553" width="8.85546875" style="27"/>
    <col min="13554" max="13554" width="22.140625" style="27" bestFit="1" customWidth="1"/>
    <col min="13555" max="13555" width="6.85546875" style="27" customWidth="1"/>
    <col min="13556" max="13556" width="7.140625" style="27" customWidth="1"/>
    <col min="13557" max="13557" width="10.42578125" style="27" customWidth="1"/>
    <col min="13558" max="13562" width="8.85546875" style="27"/>
    <col min="13563" max="13563" width="22.140625" style="27" bestFit="1" customWidth="1"/>
    <col min="13564" max="13564" width="5.140625" style="27" bestFit="1" customWidth="1"/>
    <col min="13565" max="13565" width="7.140625" style="27" customWidth="1"/>
    <col min="13566" max="13566" width="11.42578125" style="27" customWidth="1"/>
    <col min="13567" max="13569" width="8.85546875" style="27"/>
    <col min="13570" max="13570" width="9.85546875" style="27" customWidth="1"/>
    <col min="13571" max="13571" width="8.85546875" style="27"/>
    <col min="13572" max="13572" width="22.42578125" style="27" customWidth="1"/>
    <col min="13573" max="13573" width="5.140625" style="27" bestFit="1" customWidth="1"/>
    <col min="13574" max="13574" width="6.85546875" style="27" customWidth="1"/>
    <col min="13575" max="13575" width="8.140625" style="27" bestFit="1" customWidth="1"/>
    <col min="13576" max="13576" width="8.85546875" style="27"/>
    <col min="13577" max="13577" width="9.42578125" style="27" bestFit="1" customWidth="1"/>
    <col min="13578" max="13578" width="8.85546875" style="27"/>
    <col min="13579" max="13579" width="10.5703125" style="27" customWidth="1"/>
    <col min="13580" max="13580" width="8.85546875" style="27"/>
    <col min="13581" max="13581" width="22.140625" style="27" bestFit="1" customWidth="1"/>
    <col min="13582" max="13587" width="8.85546875" style="27"/>
    <col min="13588" max="13588" width="38.5703125" style="27" customWidth="1"/>
    <col min="13589" max="13589" width="28" style="27" bestFit="1" customWidth="1"/>
    <col min="13590" max="13590" width="11.5703125" style="27" customWidth="1"/>
    <col min="13591" max="13809" width="8.85546875" style="27"/>
    <col min="13810" max="13810" width="22.140625" style="27" bestFit="1" customWidth="1"/>
    <col min="13811" max="13811" width="6.85546875" style="27" customWidth="1"/>
    <col min="13812" max="13812" width="7.140625" style="27" customWidth="1"/>
    <col min="13813" max="13813" width="10.42578125" style="27" customWidth="1"/>
    <col min="13814" max="13818" width="8.85546875" style="27"/>
    <col min="13819" max="13819" width="22.140625" style="27" bestFit="1" customWidth="1"/>
    <col min="13820" max="13820" width="5.140625" style="27" bestFit="1" customWidth="1"/>
    <col min="13821" max="13821" width="7.140625" style="27" customWidth="1"/>
    <col min="13822" max="13822" width="11.42578125" style="27" customWidth="1"/>
    <col min="13823" max="13825" width="8.85546875" style="27"/>
    <col min="13826" max="13826" width="9.85546875" style="27" customWidth="1"/>
    <col min="13827" max="13827" width="8.85546875" style="27"/>
    <col min="13828" max="13828" width="22.42578125" style="27" customWidth="1"/>
    <col min="13829" max="13829" width="5.140625" style="27" bestFit="1" customWidth="1"/>
    <col min="13830" max="13830" width="6.85546875" style="27" customWidth="1"/>
    <col min="13831" max="13831" width="8.140625" style="27" bestFit="1" customWidth="1"/>
    <col min="13832" max="13832" width="8.85546875" style="27"/>
    <col min="13833" max="13833" width="9.42578125" style="27" bestFit="1" customWidth="1"/>
    <col min="13834" max="13834" width="8.85546875" style="27"/>
    <col min="13835" max="13835" width="10.5703125" style="27" customWidth="1"/>
    <col min="13836" max="13836" width="8.85546875" style="27"/>
    <col min="13837" max="13837" width="22.140625" style="27" bestFit="1" customWidth="1"/>
    <col min="13838" max="13843" width="8.85546875" style="27"/>
    <col min="13844" max="13844" width="38.5703125" style="27" customWidth="1"/>
    <col min="13845" max="13845" width="28" style="27" bestFit="1" customWidth="1"/>
    <col min="13846" max="13846" width="11.5703125" style="27" customWidth="1"/>
    <col min="13847" max="14065" width="8.85546875" style="27"/>
    <col min="14066" max="14066" width="22.140625" style="27" bestFit="1" customWidth="1"/>
    <col min="14067" max="14067" width="6.85546875" style="27" customWidth="1"/>
    <col min="14068" max="14068" width="7.140625" style="27" customWidth="1"/>
    <col min="14069" max="14069" width="10.42578125" style="27" customWidth="1"/>
    <col min="14070" max="14074" width="8.85546875" style="27"/>
    <col min="14075" max="14075" width="22.140625" style="27" bestFit="1" customWidth="1"/>
    <col min="14076" max="14076" width="5.140625" style="27" bestFit="1" customWidth="1"/>
    <col min="14077" max="14077" width="7.140625" style="27" customWidth="1"/>
    <col min="14078" max="14078" width="11.42578125" style="27" customWidth="1"/>
    <col min="14079" max="14081" width="8.85546875" style="27"/>
    <col min="14082" max="14082" width="9.85546875" style="27" customWidth="1"/>
    <col min="14083" max="14083" width="8.85546875" style="27"/>
    <col min="14084" max="14084" width="22.42578125" style="27" customWidth="1"/>
    <col min="14085" max="14085" width="5.140625" style="27" bestFit="1" customWidth="1"/>
    <col min="14086" max="14086" width="6.85546875" style="27" customWidth="1"/>
    <col min="14087" max="14087" width="8.140625" style="27" bestFit="1" customWidth="1"/>
    <col min="14088" max="14088" width="8.85546875" style="27"/>
    <col min="14089" max="14089" width="9.42578125" style="27" bestFit="1" customWidth="1"/>
    <col min="14090" max="14090" width="8.85546875" style="27"/>
    <col min="14091" max="14091" width="10.5703125" style="27" customWidth="1"/>
    <col min="14092" max="14092" width="8.85546875" style="27"/>
    <col min="14093" max="14093" width="22.140625" style="27" bestFit="1" customWidth="1"/>
    <col min="14094" max="14099" width="8.85546875" style="27"/>
    <col min="14100" max="14100" width="38.5703125" style="27" customWidth="1"/>
    <col min="14101" max="14101" width="28" style="27" bestFit="1" customWidth="1"/>
    <col min="14102" max="14102" width="11.5703125" style="27" customWidth="1"/>
    <col min="14103" max="14321" width="8.85546875" style="27"/>
    <col min="14322" max="14322" width="22.140625" style="27" bestFit="1" customWidth="1"/>
    <col min="14323" max="14323" width="6.85546875" style="27" customWidth="1"/>
    <col min="14324" max="14324" width="7.140625" style="27" customWidth="1"/>
    <col min="14325" max="14325" width="10.42578125" style="27" customWidth="1"/>
    <col min="14326" max="14330" width="8.85546875" style="27"/>
    <col min="14331" max="14331" width="22.140625" style="27" bestFit="1" customWidth="1"/>
    <col min="14332" max="14332" width="5.140625" style="27" bestFit="1" customWidth="1"/>
    <col min="14333" max="14333" width="7.140625" style="27" customWidth="1"/>
    <col min="14334" max="14334" width="11.42578125" style="27" customWidth="1"/>
    <col min="14335" max="14337" width="8.85546875" style="27"/>
    <col min="14338" max="14338" width="9.85546875" style="27" customWidth="1"/>
    <col min="14339" max="14339" width="8.85546875" style="27"/>
    <col min="14340" max="14340" width="22.42578125" style="27" customWidth="1"/>
    <col min="14341" max="14341" width="5.140625" style="27" bestFit="1" customWidth="1"/>
    <col min="14342" max="14342" width="6.85546875" style="27" customWidth="1"/>
    <col min="14343" max="14343" width="8.140625" style="27" bestFit="1" customWidth="1"/>
    <col min="14344" max="14344" width="8.85546875" style="27"/>
    <col min="14345" max="14345" width="9.42578125" style="27" bestFit="1" customWidth="1"/>
    <col min="14346" max="14346" width="8.85546875" style="27"/>
    <col min="14347" max="14347" width="10.5703125" style="27" customWidth="1"/>
    <col min="14348" max="14348" width="8.85546875" style="27"/>
    <col min="14349" max="14349" width="22.140625" style="27" bestFit="1" customWidth="1"/>
    <col min="14350" max="14355" width="8.85546875" style="27"/>
    <col min="14356" max="14356" width="38.5703125" style="27" customWidth="1"/>
    <col min="14357" max="14357" width="28" style="27" bestFit="1" customWidth="1"/>
    <col min="14358" max="14358" width="11.5703125" style="27" customWidth="1"/>
    <col min="14359" max="14577" width="8.85546875" style="27"/>
    <col min="14578" max="14578" width="22.140625" style="27" bestFit="1" customWidth="1"/>
    <col min="14579" max="14579" width="6.85546875" style="27" customWidth="1"/>
    <col min="14580" max="14580" width="7.140625" style="27" customWidth="1"/>
    <col min="14581" max="14581" width="10.42578125" style="27" customWidth="1"/>
    <col min="14582" max="14586" width="8.85546875" style="27"/>
    <col min="14587" max="14587" width="22.140625" style="27" bestFit="1" customWidth="1"/>
    <col min="14588" max="14588" width="5.140625" style="27" bestFit="1" customWidth="1"/>
    <col min="14589" max="14589" width="7.140625" style="27" customWidth="1"/>
    <col min="14590" max="14590" width="11.42578125" style="27" customWidth="1"/>
    <col min="14591" max="14593" width="8.85546875" style="27"/>
    <col min="14594" max="14594" width="9.85546875" style="27" customWidth="1"/>
    <col min="14595" max="14595" width="8.85546875" style="27"/>
    <col min="14596" max="14596" width="22.42578125" style="27" customWidth="1"/>
    <col min="14597" max="14597" width="5.140625" style="27" bestFit="1" customWidth="1"/>
    <col min="14598" max="14598" width="6.85546875" style="27" customWidth="1"/>
    <col min="14599" max="14599" width="8.140625" style="27" bestFit="1" customWidth="1"/>
    <col min="14600" max="14600" width="8.85546875" style="27"/>
    <col min="14601" max="14601" width="9.42578125" style="27" bestFit="1" customWidth="1"/>
    <col min="14602" max="14602" width="8.85546875" style="27"/>
    <col min="14603" max="14603" width="10.5703125" style="27" customWidth="1"/>
    <col min="14604" max="14604" width="8.85546875" style="27"/>
    <col min="14605" max="14605" width="22.140625" style="27" bestFit="1" customWidth="1"/>
    <col min="14606" max="14611" width="8.85546875" style="27"/>
    <col min="14612" max="14612" width="38.5703125" style="27" customWidth="1"/>
    <col min="14613" max="14613" width="28" style="27" bestFit="1" customWidth="1"/>
    <col min="14614" max="14614" width="11.5703125" style="27" customWidth="1"/>
    <col min="14615" max="14833" width="8.85546875" style="27"/>
    <col min="14834" max="14834" width="22.140625" style="27" bestFit="1" customWidth="1"/>
    <col min="14835" max="14835" width="6.85546875" style="27" customWidth="1"/>
    <col min="14836" max="14836" width="7.140625" style="27" customWidth="1"/>
    <col min="14837" max="14837" width="10.42578125" style="27" customWidth="1"/>
    <col min="14838" max="14842" width="8.85546875" style="27"/>
    <col min="14843" max="14843" width="22.140625" style="27" bestFit="1" customWidth="1"/>
    <col min="14844" max="14844" width="5.140625" style="27" bestFit="1" customWidth="1"/>
    <col min="14845" max="14845" width="7.140625" style="27" customWidth="1"/>
    <col min="14846" max="14846" width="11.42578125" style="27" customWidth="1"/>
    <col min="14847" max="14849" width="8.85546875" style="27"/>
    <col min="14850" max="14850" width="9.85546875" style="27" customWidth="1"/>
    <col min="14851" max="14851" width="8.85546875" style="27"/>
    <col min="14852" max="14852" width="22.42578125" style="27" customWidth="1"/>
    <col min="14853" max="14853" width="5.140625" style="27" bestFit="1" customWidth="1"/>
    <col min="14854" max="14854" width="6.85546875" style="27" customWidth="1"/>
    <col min="14855" max="14855" width="8.140625" style="27" bestFit="1" customWidth="1"/>
    <col min="14856" max="14856" width="8.85546875" style="27"/>
    <col min="14857" max="14857" width="9.42578125" style="27" bestFit="1" customWidth="1"/>
    <col min="14858" max="14858" width="8.85546875" style="27"/>
    <col min="14859" max="14859" width="10.5703125" style="27" customWidth="1"/>
    <col min="14860" max="14860" width="8.85546875" style="27"/>
    <col min="14861" max="14861" width="22.140625" style="27" bestFit="1" customWidth="1"/>
    <col min="14862" max="14867" width="8.85546875" style="27"/>
    <col min="14868" max="14868" width="38.5703125" style="27" customWidth="1"/>
    <col min="14869" max="14869" width="28" style="27" bestFit="1" customWidth="1"/>
    <col min="14870" max="14870" width="11.5703125" style="27" customWidth="1"/>
    <col min="14871" max="15089" width="8.85546875" style="27"/>
    <col min="15090" max="15090" width="22.140625" style="27" bestFit="1" customWidth="1"/>
    <col min="15091" max="15091" width="6.85546875" style="27" customWidth="1"/>
    <col min="15092" max="15092" width="7.140625" style="27" customWidth="1"/>
    <col min="15093" max="15093" width="10.42578125" style="27" customWidth="1"/>
    <col min="15094" max="15098" width="8.85546875" style="27"/>
    <col min="15099" max="15099" width="22.140625" style="27" bestFit="1" customWidth="1"/>
    <col min="15100" max="15100" width="5.140625" style="27" bestFit="1" customWidth="1"/>
    <col min="15101" max="15101" width="7.140625" style="27" customWidth="1"/>
    <col min="15102" max="15102" width="11.42578125" style="27" customWidth="1"/>
    <col min="15103" max="15105" width="8.85546875" style="27"/>
    <col min="15106" max="15106" width="9.85546875" style="27" customWidth="1"/>
    <col min="15107" max="15107" width="8.85546875" style="27"/>
    <col min="15108" max="15108" width="22.42578125" style="27" customWidth="1"/>
    <col min="15109" max="15109" width="5.140625" style="27" bestFit="1" customWidth="1"/>
    <col min="15110" max="15110" width="6.85546875" style="27" customWidth="1"/>
    <col min="15111" max="15111" width="8.140625" style="27" bestFit="1" customWidth="1"/>
    <col min="15112" max="15112" width="8.85546875" style="27"/>
    <col min="15113" max="15113" width="9.42578125" style="27" bestFit="1" customWidth="1"/>
    <col min="15114" max="15114" width="8.85546875" style="27"/>
    <col min="15115" max="15115" width="10.5703125" style="27" customWidth="1"/>
    <col min="15116" max="15116" width="8.85546875" style="27"/>
    <col min="15117" max="15117" width="22.140625" style="27" bestFit="1" customWidth="1"/>
    <col min="15118" max="15123" width="8.85546875" style="27"/>
    <col min="15124" max="15124" width="38.5703125" style="27" customWidth="1"/>
    <col min="15125" max="15125" width="28" style="27" bestFit="1" customWidth="1"/>
    <col min="15126" max="15126" width="11.5703125" style="27" customWidth="1"/>
    <col min="15127" max="15345" width="8.85546875" style="27"/>
    <col min="15346" max="15346" width="22.140625" style="27" bestFit="1" customWidth="1"/>
    <col min="15347" max="15347" width="6.85546875" style="27" customWidth="1"/>
    <col min="15348" max="15348" width="7.140625" style="27" customWidth="1"/>
    <col min="15349" max="15349" width="10.42578125" style="27" customWidth="1"/>
    <col min="15350" max="15354" width="8.85546875" style="27"/>
    <col min="15355" max="15355" width="22.140625" style="27" bestFit="1" customWidth="1"/>
    <col min="15356" max="15356" width="5.140625" style="27" bestFit="1" customWidth="1"/>
    <col min="15357" max="15357" width="7.140625" style="27" customWidth="1"/>
    <col min="15358" max="15358" width="11.42578125" style="27" customWidth="1"/>
    <col min="15359" max="15361" width="8.85546875" style="27"/>
    <col min="15362" max="15362" width="9.85546875" style="27" customWidth="1"/>
    <col min="15363" max="15363" width="8.85546875" style="27"/>
    <col min="15364" max="15364" width="22.42578125" style="27" customWidth="1"/>
    <col min="15365" max="15365" width="5.140625" style="27" bestFit="1" customWidth="1"/>
    <col min="15366" max="15366" width="6.85546875" style="27" customWidth="1"/>
    <col min="15367" max="15367" width="8.140625" style="27" bestFit="1" customWidth="1"/>
    <col min="15368" max="15368" width="8.85546875" style="27"/>
    <col min="15369" max="15369" width="9.42578125" style="27" bestFit="1" customWidth="1"/>
    <col min="15370" max="15370" width="8.85546875" style="27"/>
    <col min="15371" max="15371" width="10.5703125" style="27" customWidth="1"/>
    <col min="15372" max="15372" width="8.85546875" style="27"/>
    <col min="15373" max="15373" width="22.140625" style="27" bestFit="1" customWidth="1"/>
    <col min="15374" max="15379" width="8.85546875" style="27"/>
    <col min="15380" max="15380" width="38.5703125" style="27" customWidth="1"/>
    <col min="15381" max="15381" width="28" style="27" bestFit="1" customWidth="1"/>
    <col min="15382" max="15382" width="11.5703125" style="27" customWidth="1"/>
    <col min="15383" max="15601" width="8.85546875" style="27"/>
    <col min="15602" max="15602" width="22.140625" style="27" bestFit="1" customWidth="1"/>
    <col min="15603" max="15603" width="6.85546875" style="27" customWidth="1"/>
    <col min="15604" max="15604" width="7.140625" style="27" customWidth="1"/>
    <col min="15605" max="15605" width="10.42578125" style="27" customWidth="1"/>
    <col min="15606" max="15610" width="8.85546875" style="27"/>
    <col min="15611" max="15611" width="22.140625" style="27" bestFit="1" customWidth="1"/>
    <col min="15612" max="15612" width="5.140625" style="27" bestFit="1" customWidth="1"/>
    <col min="15613" max="15613" width="7.140625" style="27" customWidth="1"/>
    <col min="15614" max="15614" width="11.42578125" style="27" customWidth="1"/>
    <col min="15615" max="15617" width="8.85546875" style="27"/>
    <col min="15618" max="15618" width="9.85546875" style="27" customWidth="1"/>
    <col min="15619" max="15619" width="8.85546875" style="27"/>
    <col min="15620" max="15620" width="22.42578125" style="27" customWidth="1"/>
    <col min="15621" max="15621" width="5.140625" style="27" bestFit="1" customWidth="1"/>
    <col min="15622" max="15622" width="6.85546875" style="27" customWidth="1"/>
    <col min="15623" max="15623" width="8.140625" style="27" bestFit="1" customWidth="1"/>
    <col min="15624" max="15624" width="8.85546875" style="27"/>
    <col min="15625" max="15625" width="9.42578125" style="27" bestFit="1" customWidth="1"/>
    <col min="15626" max="15626" width="8.85546875" style="27"/>
    <col min="15627" max="15627" width="10.5703125" style="27" customWidth="1"/>
    <col min="15628" max="15628" width="8.85546875" style="27"/>
    <col min="15629" max="15629" width="22.140625" style="27" bestFit="1" customWidth="1"/>
    <col min="15630" max="15635" width="8.85546875" style="27"/>
    <col min="15636" max="15636" width="38.5703125" style="27" customWidth="1"/>
    <col min="15637" max="15637" width="28" style="27" bestFit="1" customWidth="1"/>
    <col min="15638" max="15638" width="11.5703125" style="27" customWidth="1"/>
    <col min="15639" max="15857" width="8.85546875" style="27"/>
    <col min="15858" max="15858" width="22.140625" style="27" bestFit="1" customWidth="1"/>
    <col min="15859" max="15859" width="6.85546875" style="27" customWidth="1"/>
    <col min="15860" max="15860" width="7.140625" style="27" customWidth="1"/>
    <col min="15861" max="15861" width="10.42578125" style="27" customWidth="1"/>
    <col min="15862" max="15866" width="8.85546875" style="27"/>
    <col min="15867" max="15867" width="22.140625" style="27" bestFit="1" customWidth="1"/>
    <col min="15868" max="15868" width="5.140625" style="27" bestFit="1" customWidth="1"/>
    <col min="15869" max="15869" width="7.140625" style="27" customWidth="1"/>
    <col min="15870" max="15870" width="11.42578125" style="27" customWidth="1"/>
    <col min="15871" max="15873" width="8.85546875" style="27"/>
    <col min="15874" max="15874" width="9.85546875" style="27" customWidth="1"/>
    <col min="15875" max="15875" width="8.85546875" style="27"/>
    <col min="15876" max="15876" width="22.42578125" style="27" customWidth="1"/>
    <col min="15877" max="15877" width="5.140625" style="27" bestFit="1" customWidth="1"/>
    <col min="15878" max="15878" width="6.85546875" style="27" customWidth="1"/>
    <col min="15879" max="15879" width="8.140625" style="27" bestFit="1" customWidth="1"/>
    <col min="15880" max="15880" width="8.85546875" style="27"/>
    <col min="15881" max="15881" width="9.42578125" style="27" bestFit="1" customWidth="1"/>
    <col min="15882" max="15882" width="8.85546875" style="27"/>
    <col min="15883" max="15883" width="10.5703125" style="27" customWidth="1"/>
    <col min="15884" max="15884" width="8.85546875" style="27"/>
    <col min="15885" max="15885" width="22.140625" style="27" bestFit="1" customWidth="1"/>
    <col min="15886" max="15891" width="8.85546875" style="27"/>
    <col min="15892" max="15892" width="38.5703125" style="27" customWidth="1"/>
    <col min="15893" max="15893" width="28" style="27" bestFit="1" customWidth="1"/>
    <col min="15894" max="15894" width="11.5703125" style="27" customWidth="1"/>
    <col min="15895" max="16113" width="8.85546875" style="27"/>
    <col min="16114" max="16114" width="22.140625" style="27" bestFit="1" customWidth="1"/>
    <col min="16115" max="16115" width="6.85546875" style="27" customWidth="1"/>
    <col min="16116" max="16116" width="7.140625" style="27" customWidth="1"/>
    <col min="16117" max="16117" width="10.42578125" style="27" customWidth="1"/>
    <col min="16118" max="16122" width="8.85546875" style="27"/>
    <col min="16123" max="16123" width="22.140625" style="27" bestFit="1" customWidth="1"/>
    <col min="16124" max="16124" width="5.140625" style="27" bestFit="1" customWidth="1"/>
    <col min="16125" max="16125" width="7.140625" style="27" customWidth="1"/>
    <col min="16126" max="16126" width="11.42578125" style="27" customWidth="1"/>
    <col min="16127" max="16129" width="8.85546875" style="27"/>
    <col min="16130" max="16130" width="9.85546875" style="27" customWidth="1"/>
    <col min="16131" max="16131" width="8.85546875" style="27"/>
    <col min="16132" max="16132" width="22.42578125" style="27" customWidth="1"/>
    <col min="16133" max="16133" width="5.140625" style="27" bestFit="1" customWidth="1"/>
    <col min="16134" max="16134" width="6.85546875" style="27" customWidth="1"/>
    <col min="16135" max="16135" width="8.140625" style="27" bestFit="1" customWidth="1"/>
    <col min="16136" max="16136" width="8.85546875" style="27"/>
    <col min="16137" max="16137" width="9.42578125" style="27" bestFit="1" customWidth="1"/>
    <col min="16138" max="16138" width="8.85546875" style="27"/>
    <col min="16139" max="16139" width="10.5703125" style="27" customWidth="1"/>
    <col min="16140" max="16140" width="8.85546875" style="27"/>
    <col min="16141" max="16141" width="22.140625" style="27" bestFit="1" customWidth="1"/>
    <col min="16142" max="16147" width="8.85546875" style="27"/>
    <col min="16148" max="16148" width="38.5703125" style="27" customWidth="1"/>
    <col min="16149" max="16149" width="28" style="27" bestFit="1" customWidth="1"/>
    <col min="16150" max="16150" width="11.5703125" style="27" customWidth="1"/>
    <col min="16151" max="16384" width="8.85546875" style="27"/>
  </cols>
  <sheetData>
    <row r="2" spans="1:20" ht="15" customHeight="1" thickBot="1"/>
    <row r="3" spans="1:20" ht="15.75" customHeight="1" thickBot="1">
      <c r="A3" s="1204" t="s">
        <v>430</v>
      </c>
      <c r="B3" s="1205"/>
      <c r="C3" s="1205"/>
      <c r="D3" s="1206"/>
      <c r="E3" s="112"/>
      <c r="F3" s="1204" t="s">
        <v>431</v>
      </c>
      <c r="G3" s="1205"/>
      <c r="H3" s="1205"/>
      <c r="I3" s="1206"/>
      <c r="K3" s="1204" t="s">
        <v>356</v>
      </c>
      <c r="L3" s="1205"/>
      <c r="M3" s="1205"/>
      <c r="N3" s="1205"/>
      <c r="O3" s="1205"/>
      <c r="P3" s="1205"/>
      <c r="Q3" s="1205"/>
      <c r="R3" s="1205"/>
      <c r="S3" s="1205"/>
      <c r="T3" s="1206"/>
    </row>
    <row r="4" spans="1:20" ht="15.75" customHeight="1" thickBot="1">
      <c r="A4" s="109"/>
      <c r="B4" s="111" t="s">
        <v>299</v>
      </c>
      <c r="C4" s="327" t="s">
        <v>300</v>
      </c>
      <c r="D4" s="328" t="s">
        <v>301</v>
      </c>
      <c r="E4" s="329"/>
      <c r="F4" s="109"/>
      <c r="G4" s="111" t="s">
        <v>299</v>
      </c>
      <c r="H4" s="327" t="s">
        <v>300</v>
      </c>
      <c r="I4" s="328" t="s">
        <v>301</v>
      </c>
      <c r="K4" s="1207" t="s">
        <v>304</v>
      </c>
      <c r="L4" s="1208"/>
      <c r="M4" s="1201" t="s">
        <v>305</v>
      </c>
      <c r="N4" s="1202"/>
      <c r="O4" s="1202"/>
      <c r="P4" s="1202"/>
      <c r="Q4" s="1202"/>
      <c r="R4" s="1202"/>
      <c r="S4" s="1202"/>
      <c r="T4" s="1203"/>
    </row>
    <row r="5" spans="1:20" ht="15" customHeight="1" thickBot="1">
      <c r="A5" s="281" t="s">
        <v>303</v>
      </c>
      <c r="B5" s="282" t="e">
        <f>L6</f>
        <v>#REF!</v>
      </c>
      <c r="C5" s="308">
        <f>M6</f>
        <v>0.20793518578803963</v>
      </c>
      <c r="D5" s="283" t="e">
        <f>B5*C5</f>
        <v>#REF!</v>
      </c>
      <c r="E5" s="283"/>
      <c r="F5" s="281" t="s">
        <v>303</v>
      </c>
      <c r="G5" s="282" t="e">
        <f>L6</f>
        <v>#REF!</v>
      </c>
      <c r="H5" s="308">
        <f>N6</f>
        <v>0.20793518578803963</v>
      </c>
      <c r="I5" s="283" t="e">
        <f>G5*H5</f>
        <v>#REF!</v>
      </c>
      <c r="K5" s="1209"/>
      <c r="L5" s="1210"/>
      <c r="M5" s="284" t="s">
        <v>307</v>
      </c>
      <c r="N5" s="284" t="s">
        <v>308</v>
      </c>
      <c r="O5" s="284" t="s">
        <v>309</v>
      </c>
      <c r="P5" s="284" t="s">
        <v>310</v>
      </c>
      <c r="Q5" s="284" t="s">
        <v>311</v>
      </c>
      <c r="R5" s="284" t="s">
        <v>312</v>
      </c>
      <c r="S5" s="284" t="s">
        <v>313</v>
      </c>
      <c r="T5" s="284" t="s">
        <v>314</v>
      </c>
    </row>
    <row r="6" spans="1:20" ht="14.45" customHeight="1">
      <c r="A6" s="281" t="s">
        <v>360</v>
      </c>
      <c r="B6" s="282" t="e">
        <f t="shared" ref="B6:C8" si="0">L8</f>
        <v>#REF!</v>
      </c>
      <c r="C6" s="308">
        <f t="shared" si="0"/>
        <v>0.45</v>
      </c>
      <c r="D6" s="283" t="e">
        <f>B6*C6</f>
        <v>#REF!</v>
      </c>
      <c r="E6" s="283"/>
      <c r="F6" s="281" t="s">
        <v>360</v>
      </c>
      <c r="G6" s="282" t="e">
        <f>L8</f>
        <v>#REF!</v>
      </c>
      <c r="H6" s="308">
        <f>N8</f>
        <v>0.7</v>
      </c>
      <c r="I6" s="283" t="e">
        <f>G6*H6</f>
        <v>#REF!</v>
      </c>
      <c r="K6" s="285" t="s">
        <v>303</v>
      </c>
      <c r="L6" s="286" t="e">
        <f>#REF!</f>
        <v>#REF!</v>
      </c>
      <c r="M6" s="287">
        <v>0.20793518578803963</v>
      </c>
      <c r="N6" s="288">
        <v>0.20793518578803963</v>
      </c>
      <c r="O6" s="288">
        <v>0.45454545454545453</v>
      </c>
      <c r="P6" s="288">
        <v>0.17141009055627424</v>
      </c>
      <c r="Q6" s="288">
        <v>0.57834862385321095</v>
      </c>
      <c r="R6" s="288">
        <v>0.69090909090909092</v>
      </c>
      <c r="S6" s="288">
        <v>0.54186582691334406</v>
      </c>
      <c r="T6" s="289">
        <v>0.56619472021660655</v>
      </c>
    </row>
    <row r="7" spans="1:20" ht="14.45" customHeight="1">
      <c r="A7" s="290" t="s">
        <v>324</v>
      </c>
      <c r="B7" s="282" t="e">
        <f t="shared" si="0"/>
        <v>#REF!</v>
      </c>
      <c r="C7" s="308">
        <f t="shared" si="0"/>
        <v>0.95</v>
      </c>
      <c r="D7" s="283" t="e">
        <f>B7*C7</f>
        <v>#REF!</v>
      </c>
      <c r="E7" s="283"/>
      <c r="F7" s="290" t="s">
        <v>324</v>
      </c>
      <c r="G7" s="282" t="e">
        <f>L9</f>
        <v>#REF!</v>
      </c>
      <c r="H7" s="308">
        <f>N9</f>
        <v>1.62</v>
      </c>
      <c r="I7" s="283" t="e">
        <f>G7*H7</f>
        <v>#REF!</v>
      </c>
      <c r="K7" s="281" t="s">
        <v>319</v>
      </c>
      <c r="L7" s="286" t="e">
        <f>#REF!</f>
        <v>#REF!</v>
      </c>
      <c r="M7" s="291"/>
      <c r="N7" s="292"/>
      <c r="O7" s="292">
        <v>1.1357541478464965</v>
      </c>
      <c r="P7" s="292">
        <v>0.32923673997412672</v>
      </c>
      <c r="Q7" s="292">
        <v>2.0403669724770643</v>
      </c>
      <c r="R7" s="292">
        <v>1.9335664335664335</v>
      </c>
      <c r="S7" s="292">
        <v>1.8452173424056681</v>
      </c>
      <c r="T7" s="293">
        <v>1.2765117328519857</v>
      </c>
    </row>
    <row r="8" spans="1:20" ht="14.45" customHeight="1">
      <c r="A8" s="290" t="s">
        <v>322</v>
      </c>
      <c r="B8" s="282" t="e">
        <f t="shared" si="0"/>
        <v>#REF!</v>
      </c>
      <c r="C8" s="308">
        <f t="shared" si="0"/>
        <v>0.13543146969089426</v>
      </c>
      <c r="D8" s="283" t="e">
        <f>B8*C8</f>
        <v>#REF!</v>
      </c>
      <c r="E8" s="283"/>
      <c r="F8" s="290" t="s">
        <v>322</v>
      </c>
      <c r="G8" s="282" t="e">
        <f>L10</f>
        <v>#REF!</v>
      </c>
      <c r="H8" s="308">
        <f>N10</f>
        <v>0.13543146969089426</v>
      </c>
      <c r="I8" s="283" t="e">
        <f>G8*H8</f>
        <v>#REF!</v>
      </c>
      <c r="K8" s="281" t="s">
        <v>321</v>
      </c>
      <c r="L8" s="286" t="e">
        <f>#REF!</f>
        <v>#REF!</v>
      </c>
      <c r="M8" s="291">
        <v>0.45</v>
      </c>
      <c r="N8" s="292">
        <v>0.7</v>
      </c>
      <c r="O8" s="292">
        <v>0.15</v>
      </c>
      <c r="P8" s="292">
        <v>0.7</v>
      </c>
      <c r="Q8" s="292"/>
      <c r="R8" s="292">
        <v>0.25</v>
      </c>
      <c r="S8" s="292">
        <v>1.1000000000000001</v>
      </c>
      <c r="T8" s="293">
        <v>0.9</v>
      </c>
    </row>
    <row r="9" spans="1:20" ht="14.45" customHeight="1">
      <c r="A9" s="290"/>
      <c r="B9" s="282"/>
      <c r="C9" s="308"/>
      <c r="D9" s="283"/>
      <c r="E9" s="283"/>
      <c r="F9" s="290"/>
      <c r="G9" s="282"/>
      <c r="H9" s="308"/>
      <c r="I9" s="283"/>
      <c r="K9" s="290" t="s">
        <v>324</v>
      </c>
      <c r="L9" s="286" t="e">
        <f>#REF!</f>
        <v>#REF!</v>
      </c>
      <c r="M9" s="291">
        <v>0.95</v>
      </c>
      <c r="N9" s="292">
        <v>1.62</v>
      </c>
      <c r="O9" s="292">
        <v>1.05</v>
      </c>
      <c r="P9" s="292">
        <v>1.91</v>
      </c>
      <c r="Q9" s="292"/>
      <c r="R9" s="292">
        <v>1.21</v>
      </c>
      <c r="S9" s="292">
        <v>3.79</v>
      </c>
      <c r="T9" s="293">
        <v>2.39</v>
      </c>
    </row>
    <row r="10" spans="1:20" ht="15" customHeight="1" thickBot="1">
      <c r="A10" s="290"/>
      <c r="B10" s="282"/>
      <c r="C10" s="308"/>
      <c r="D10" s="283"/>
      <c r="E10" s="283"/>
      <c r="F10" s="290"/>
      <c r="G10" s="282"/>
      <c r="H10" s="308"/>
      <c r="I10" s="283"/>
      <c r="K10" s="294" t="s">
        <v>322</v>
      </c>
      <c r="L10" s="286" t="e">
        <f>#REF!</f>
        <v>#REF!</v>
      </c>
      <c r="M10" s="295">
        <v>0.13543146969089426</v>
      </c>
      <c r="N10" s="296">
        <v>0.13543146969089426</v>
      </c>
      <c r="O10" s="296">
        <v>0.25</v>
      </c>
      <c r="P10" s="296">
        <v>0.16558861578266496</v>
      </c>
      <c r="Q10" s="296">
        <v>0.13064220183486239</v>
      </c>
      <c r="R10" s="296">
        <v>0.20489510489510487</v>
      </c>
      <c r="S10" s="296">
        <v>0.33456109767755715</v>
      </c>
      <c r="T10" s="297">
        <v>0.47354467509025272</v>
      </c>
    </row>
    <row r="11" spans="1:20" ht="15" customHeight="1" thickBot="1">
      <c r="A11" s="116" t="s">
        <v>326</v>
      </c>
      <c r="B11" s="330"/>
      <c r="C11" s="331">
        <f>SUM(C5:C8)</f>
        <v>1.7433666554789338</v>
      </c>
      <c r="D11" s="332" t="e">
        <f>SUM(D5:D8)</f>
        <v>#REF!</v>
      </c>
      <c r="E11" s="329"/>
      <c r="F11" s="116" t="s">
        <v>326</v>
      </c>
      <c r="G11" s="330"/>
      <c r="H11" s="331">
        <f>SUM(H5:H8)</f>
        <v>2.6633666554789337</v>
      </c>
      <c r="I11" s="332" t="e">
        <f>SUM(I5:I8)</f>
        <v>#REF!</v>
      </c>
      <c r="K11" s="1201" t="s">
        <v>325</v>
      </c>
      <c r="L11" s="1202"/>
      <c r="M11" s="298" t="s">
        <v>307</v>
      </c>
      <c r="N11" s="284" t="s">
        <v>308</v>
      </c>
      <c r="O11" s="284" t="s">
        <v>309</v>
      </c>
      <c r="P11" s="284" t="s">
        <v>310</v>
      </c>
      <c r="Q11" s="284" t="s">
        <v>311</v>
      </c>
      <c r="R11" s="284" t="s">
        <v>312</v>
      </c>
      <c r="S11" s="284" t="s">
        <v>313</v>
      </c>
      <c r="T11" s="284" t="s">
        <v>314</v>
      </c>
    </row>
    <row r="12" spans="1:20">
      <c r="A12" s="109"/>
      <c r="B12" s="333"/>
      <c r="C12" s="334"/>
      <c r="D12" s="329"/>
      <c r="E12" s="329"/>
      <c r="F12" s="109"/>
      <c r="G12" s="333"/>
      <c r="H12" s="334"/>
      <c r="I12" s="329"/>
      <c r="K12" s="233" t="s">
        <v>327</v>
      </c>
      <c r="L12" s="299">
        <v>0.24199999999999999</v>
      </c>
      <c r="M12" s="204"/>
      <c r="N12" s="204"/>
      <c r="O12" s="204"/>
      <c r="P12" s="204"/>
      <c r="Q12" s="204"/>
      <c r="R12" s="204"/>
      <c r="S12" s="204"/>
      <c r="T12" s="300"/>
    </row>
    <row r="13" spans="1:20">
      <c r="A13" s="109" t="s">
        <v>328</v>
      </c>
      <c r="B13" s="333"/>
      <c r="C13" s="327"/>
      <c r="D13" s="329"/>
      <c r="E13" s="329"/>
      <c r="F13" s="109" t="s">
        <v>328</v>
      </c>
      <c r="G13" s="333"/>
      <c r="H13" s="327"/>
      <c r="I13" s="329"/>
      <c r="K13" s="110" t="s">
        <v>178</v>
      </c>
      <c r="L13" s="301">
        <v>0.12</v>
      </c>
      <c r="M13" s="70"/>
      <c r="N13" s="70"/>
      <c r="O13" s="70"/>
      <c r="P13" s="70"/>
      <c r="Q13" s="70"/>
      <c r="R13" s="70"/>
      <c r="S13" s="302"/>
      <c r="T13" s="205"/>
    </row>
    <row r="14" spans="1:20">
      <c r="A14" s="110" t="s">
        <v>329</v>
      </c>
      <c r="B14" s="335">
        <f>L12</f>
        <v>0.24199999999999999</v>
      </c>
      <c r="C14" s="336"/>
      <c r="D14" s="283" t="e">
        <f>B14*D11</f>
        <v>#REF!</v>
      </c>
      <c r="E14" s="283"/>
      <c r="F14" s="110" t="s">
        <v>329</v>
      </c>
      <c r="G14" s="335">
        <f>L12</f>
        <v>0.24199999999999999</v>
      </c>
      <c r="H14" s="336"/>
      <c r="I14" s="283" t="e">
        <f>G14*I11</f>
        <v>#REF!</v>
      </c>
      <c r="K14" s="110" t="s">
        <v>209</v>
      </c>
      <c r="L14" s="113">
        <v>5963.9694954316819</v>
      </c>
      <c r="M14" s="70" t="s">
        <v>330</v>
      </c>
      <c r="T14" s="73"/>
    </row>
    <row r="15" spans="1:20" ht="15.75" customHeight="1">
      <c r="A15" s="303" t="s">
        <v>331</v>
      </c>
      <c r="B15" s="304"/>
      <c r="C15" s="305"/>
      <c r="D15" s="332" t="e">
        <f>D11+D14</f>
        <v>#REF!</v>
      </c>
      <c r="E15" s="337"/>
      <c r="F15" s="303" t="s">
        <v>331</v>
      </c>
      <c r="G15" s="304"/>
      <c r="H15" s="305"/>
      <c r="I15" s="332" t="e">
        <f>I11+I14</f>
        <v>#REF!</v>
      </c>
      <c r="K15" s="110" t="s">
        <v>214</v>
      </c>
      <c r="L15" s="113">
        <v>159.61973086509079</v>
      </c>
      <c r="M15" s="70" t="s">
        <v>330</v>
      </c>
      <c r="T15" s="73"/>
    </row>
    <row r="16" spans="1:20">
      <c r="A16" s="110" t="s">
        <v>209</v>
      </c>
      <c r="B16" s="306"/>
      <c r="C16" s="307">
        <f>L14</f>
        <v>5963.9694954316819</v>
      </c>
      <c r="D16" s="283">
        <f t="shared" ref="D16:D22" si="1">C16*$C$11</f>
        <v>10397.385552629115</v>
      </c>
      <c r="E16" s="329"/>
      <c r="F16" s="110" t="s">
        <v>209</v>
      </c>
      <c r="G16" s="306"/>
      <c r="H16" s="307">
        <f>L14</f>
        <v>5963.9694954316819</v>
      </c>
      <c r="I16" s="283">
        <f t="shared" ref="I16:I22" si="2">H16*$H$11</f>
        <v>15884.237488426263</v>
      </c>
      <c r="K16" s="110" t="s">
        <v>215</v>
      </c>
      <c r="L16" s="113">
        <v>1056.8783932396871</v>
      </c>
      <c r="M16" s="70" t="s">
        <v>330</v>
      </c>
      <c r="T16" s="73"/>
    </row>
    <row r="17" spans="1:20">
      <c r="A17" s="110" t="s">
        <v>214</v>
      </c>
      <c r="B17" s="306"/>
      <c r="C17" s="307">
        <f t="shared" ref="C17:C22" si="3">L15</f>
        <v>159.61973086509079</v>
      </c>
      <c r="D17" s="283">
        <f t="shared" si="1"/>
        <v>278.27571634672086</v>
      </c>
      <c r="E17" s="329"/>
      <c r="F17" s="110" t="s">
        <v>214</v>
      </c>
      <c r="G17" s="306"/>
      <c r="H17" s="307">
        <f t="shared" ref="H17:H22" si="4">L15</f>
        <v>159.61973086509079</v>
      </c>
      <c r="I17" s="283">
        <f t="shared" si="2"/>
        <v>425.12586874260438</v>
      </c>
      <c r="K17" s="110" t="s">
        <v>216</v>
      </c>
      <c r="L17" s="113">
        <v>659.46971027355744</v>
      </c>
      <c r="M17" s="70" t="s">
        <v>330</v>
      </c>
      <c r="T17" s="73"/>
    </row>
    <row r="18" spans="1:20">
      <c r="A18" s="110" t="s">
        <v>215</v>
      </c>
      <c r="B18" s="306"/>
      <c r="C18" s="307">
        <f t="shared" si="3"/>
        <v>1056.8783932396871</v>
      </c>
      <c r="D18" s="283">
        <f t="shared" si="1"/>
        <v>1842.5265496702225</v>
      </c>
      <c r="E18" s="329"/>
      <c r="F18" s="110" t="s">
        <v>215</v>
      </c>
      <c r="G18" s="306"/>
      <c r="H18" s="307">
        <f t="shared" si="4"/>
        <v>1056.8783932396871</v>
      </c>
      <c r="I18" s="283">
        <f t="shared" si="2"/>
        <v>2814.8546714507347</v>
      </c>
      <c r="K18" s="110" t="s">
        <v>217</v>
      </c>
      <c r="L18" s="113">
        <v>474.11060420697481</v>
      </c>
      <c r="M18" s="70" t="s">
        <v>330</v>
      </c>
      <c r="T18" s="73"/>
    </row>
    <row r="19" spans="1:20">
      <c r="A19" s="110" t="s">
        <v>216</v>
      </c>
      <c r="B19" s="306"/>
      <c r="C19" s="307">
        <f t="shared" si="3"/>
        <v>659.46971027355744</v>
      </c>
      <c r="D19" s="283">
        <f t="shared" si="1"/>
        <v>1149.6975031892732</v>
      </c>
      <c r="E19" s="329"/>
      <c r="F19" s="110" t="s">
        <v>216</v>
      </c>
      <c r="G19" s="306"/>
      <c r="H19" s="307">
        <f t="shared" si="4"/>
        <v>659.46971027355744</v>
      </c>
      <c r="I19" s="283">
        <f t="shared" si="2"/>
        <v>1756.409636640946</v>
      </c>
      <c r="K19" s="110" t="s">
        <v>221</v>
      </c>
      <c r="L19" s="113">
        <v>1733.9343036087084</v>
      </c>
      <c r="M19" s="70" t="s">
        <v>330</v>
      </c>
      <c r="T19" s="73"/>
    </row>
    <row r="20" spans="1:20">
      <c r="A20" s="110" t="s">
        <v>217</v>
      </c>
      <c r="B20" s="306"/>
      <c r="C20" s="307">
        <f t="shared" si="3"/>
        <v>474.11060420697481</v>
      </c>
      <c r="D20" s="283">
        <f t="shared" si="1"/>
        <v>826.54861838341014</v>
      </c>
      <c r="E20" s="329"/>
      <c r="F20" s="110" t="s">
        <v>217</v>
      </c>
      <c r="G20" s="306"/>
      <c r="H20" s="307">
        <f t="shared" si="4"/>
        <v>474.11060420697481</v>
      </c>
      <c r="I20" s="283">
        <f t="shared" si="2"/>
        <v>1262.730374253827</v>
      </c>
      <c r="K20" s="110" t="s">
        <v>225</v>
      </c>
      <c r="L20" s="113">
        <v>1347.3502436316674</v>
      </c>
      <c r="M20" s="70" t="s">
        <v>330</v>
      </c>
      <c r="T20" s="73"/>
    </row>
    <row r="21" spans="1:20" ht="12.75" customHeight="1">
      <c r="A21" s="110" t="s">
        <v>221</v>
      </c>
      <c r="B21" s="306"/>
      <c r="C21" s="307">
        <f t="shared" si="3"/>
        <v>1733.9343036087084</v>
      </c>
      <c r="D21" s="283">
        <f t="shared" si="1"/>
        <v>3022.883247702508</v>
      </c>
      <c r="E21" s="329"/>
      <c r="F21" s="110" t="s">
        <v>221</v>
      </c>
      <c r="G21" s="306"/>
      <c r="H21" s="307">
        <f t="shared" si="4"/>
        <v>1733.9343036087084</v>
      </c>
      <c r="I21" s="283">
        <f t="shared" si="2"/>
        <v>4618.1028070225202</v>
      </c>
      <c r="K21" s="110"/>
      <c r="M21" s="70"/>
      <c r="T21" s="73"/>
    </row>
    <row r="22" spans="1:20">
      <c r="A22" s="110" t="s">
        <v>225</v>
      </c>
      <c r="B22" s="306"/>
      <c r="C22" s="307">
        <f t="shared" si="3"/>
        <v>1347.3502436316674</v>
      </c>
      <c r="D22" s="283">
        <f t="shared" si="1"/>
        <v>2348.9254879988666</v>
      </c>
      <c r="E22" s="329"/>
      <c r="F22" s="110" t="s">
        <v>225</v>
      </c>
      <c r="G22" s="306"/>
      <c r="H22" s="307">
        <f t="shared" si="4"/>
        <v>1347.3502436316674</v>
      </c>
      <c r="I22" s="283">
        <f t="shared" si="2"/>
        <v>3588.4877121400004</v>
      </c>
      <c r="K22" s="110"/>
      <c r="M22" s="70"/>
      <c r="T22" s="73"/>
    </row>
    <row r="23" spans="1:20" ht="13.5" thickBot="1">
      <c r="A23" s="110"/>
      <c r="B23" s="306"/>
      <c r="C23" s="308"/>
      <c r="D23" s="329"/>
      <c r="E23" s="329"/>
      <c r="F23" s="110"/>
      <c r="G23" s="306"/>
      <c r="H23" s="308"/>
      <c r="I23" s="329"/>
      <c r="K23" s="309" t="s">
        <v>336</v>
      </c>
      <c r="L23" s="310"/>
      <c r="M23" s="311">
        <v>0.34150000000000003</v>
      </c>
      <c r="N23" s="311">
        <v>0.21195</v>
      </c>
      <c r="O23" s="311">
        <v>0.21310000000000001</v>
      </c>
      <c r="P23" s="311">
        <v>0.28775000000000001</v>
      </c>
      <c r="Q23" s="311">
        <v>0.20979999999999999</v>
      </c>
      <c r="R23" s="311">
        <v>0.29899999999999999</v>
      </c>
      <c r="S23" s="312">
        <v>0.16789999999999999</v>
      </c>
      <c r="T23" s="313">
        <v>0.31219999999999998</v>
      </c>
    </row>
    <row r="24" spans="1:20" ht="15.75" customHeight="1" thickBot="1">
      <c r="A24" s="110"/>
      <c r="B24" s="306"/>
      <c r="C24" s="308"/>
      <c r="D24" s="329"/>
      <c r="E24" s="329"/>
      <c r="F24" s="110"/>
      <c r="G24" s="306"/>
      <c r="H24" s="308"/>
      <c r="I24" s="329"/>
      <c r="K24" s="123" t="s">
        <v>339</v>
      </c>
      <c r="L24" s="314" t="e">
        <f>#REF!</f>
        <v>#REF!</v>
      </c>
      <c r="M24" s="315" t="s">
        <v>340</v>
      </c>
      <c r="N24" s="125"/>
      <c r="O24" s="125"/>
      <c r="P24" s="125"/>
      <c r="Q24" s="125"/>
      <c r="R24" s="125"/>
      <c r="S24" s="125"/>
      <c r="T24" s="126"/>
    </row>
    <row r="25" spans="1:20" ht="15.75" customHeight="1">
      <c r="A25" s="110" t="s">
        <v>337</v>
      </c>
      <c r="B25" s="119"/>
      <c r="C25" s="308"/>
      <c r="D25" s="283">
        <f>SUM(D16:D24)</f>
        <v>19866.242675920119</v>
      </c>
      <c r="E25" s="329"/>
      <c r="F25" s="110" t="s">
        <v>337</v>
      </c>
      <c r="G25" s="119"/>
      <c r="H25" s="308"/>
      <c r="I25" s="283">
        <f>SUM(I16:I24)</f>
        <v>30349.948558676893</v>
      </c>
    </row>
    <row r="26" spans="1:20">
      <c r="A26" s="303" t="s">
        <v>338</v>
      </c>
      <c r="B26" s="304"/>
      <c r="C26" s="305"/>
      <c r="D26" s="332" t="e">
        <f>D15+D25</f>
        <v>#REF!</v>
      </c>
      <c r="E26" s="329"/>
      <c r="F26" s="303" t="s">
        <v>338</v>
      </c>
      <c r="G26" s="304"/>
      <c r="H26" s="305"/>
      <c r="I26" s="332" t="e">
        <f>I15+I25</f>
        <v>#REF!</v>
      </c>
    </row>
    <row r="27" spans="1:20">
      <c r="A27" s="110" t="s">
        <v>432</v>
      </c>
      <c r="B27" s="119">
        <f>L13</f>
        <v>0.12</v>
      </c>
      <c r="C27" s="308"/>
      <c r="D27" s="283" t="e">
        <f>B27*D26</f>
        <v>#REF!</v>
      </c>
      <c r="E27" s="329"/>
      <c r="F27" s="110" t="s">
        <v>432</v>
      </c>
      <c r="G27" s="119">
        <f>L13</f>
        <v>0.12</v>
      </c>
      <c r="H27" s="308"/>
      <c r="I27" s="283" t="e">
        <f>G27*I26</f>
        <v>#REF!</v>
      </c>
    </row>
    <row r="28" spans="1:20" ht="13.5" thickBot="1">
      <c r="A28" s="338" t="s">
        <v>342</v>
      </c>
      <c r="B28" s="339"/>
      <c r="C28" s="340"/>
      <c r="D28" s="341" t="e">
        <f>D27+D26</f>
        <v>#REF!</v>
      </c>
      <c r="E28" s="329"/>
      <c r="F28" s="338" t="s">
        <v>342</v>
      </c>
      <c r="G28" s="339"/>
      <c r="H28" s="340"/>
      <c r="I28" s="341" t="e">
        <f>I27+I26</f>
        <v>#REF!</v>
      </c>
    </row>
    <row r="29" spans="1:20" ht="13.5" thickTop="1">
      <c r="A29" s="110" t="s">
        <v>343</v>
      </c>
      <c r="C29" s="316"/>
      <c r="D29" s="73">
        <v>10</v>
      </c>
      <c r="E29" s="73"/>
      <c r="F29" s="110" t="s">
        <v>343</v>
      </c>
      <c r="H29" s="316"/>
      <c r="I29" s="73">
        <v>10</v>
      </c>
    </row>
    <row r="30" spans="1:20">
      <c r="A30" s="110" t="s">
        <v>344</v>
      </c>
      <c r="B30" s="333"/>
      <c r="C30" s="334"/>
      <c r="D30" s="342" t="e">
        <f>D28/D29/365</f>
        <v>#REF!</v>
      </c>
      <c r="E30" s="342"/>
      <c r="F30" s="110" t="s">
        <v>344</v>
      </c>
      <c r="G30" s="333"/>
      <c r="H30" s="334"/>
      <c r="I30" s="342" t="e">
        <f>(I28/I29)/365</f>
        <v>#REF!</v>
      </c>
    </row>
    <row r="31" spans="1:20" ht="13.5" thickBot="1">
      <c r="A31" s="343" t="str">
        <f>K24</f>
        <v>CAF (Jan 2022)</v>
      </c>
      <c r="B31" s="344" t="e">
        <f>L24</f>
        <v>#REF!</v>
      </c>
      <c r="C31" s="345"/>
      <c r="D31" s="346" t="e">
        <f>D30*(1+B31)</f>
        <v>#REF!</v>
      </c>
      <c r="E31" s="134" t="e">
        <f>(D31-D32)/D32</f>
        <v>#REF!</v>
      </c>
      <c r="F31" s="343" t="str">
        <f>K24</f>
        <v>CAF (Jan 2022)</v>
      </c>
      <c r="G31" s="344" t="e">
        <f>L24</f>
        <v>#REF!</v>
      </c>
      <c r="H31" s="345"/>
      <c r="I31" s="346" t="e">
        <f>I30*(1+G31)</f>
        <v>#REF!</v>
      </c>
      <c r="J31" s="134" t="e">
        <f>(I31-I32)/I32</f>
        <v>#REF!</v>
      </c>
    </row>
    <row r="32" spans="1:20" ht="16.5" customHeight="1">
      <c r="A32" s="105"/>
      <c r="B32" s="333"/>
      <c r="C32" s="27" t="s">
        <v>384</v>
      </c>
      <c r="D32" s="326">
        <v>37.21</v>
      </c>
      <c r="E32" s="134"/>
      <c r="F32" s="105"/>
      <c r="G32" s="105"/>
      <c r="H32" s="27" t="s">
        <v>384</v>
      </c>
      <c r="I32" s="326">
        <v>50.28</v>
      </c>
      <c r="J32" s="134"/>
    </row>
    <row r="33" spans="1:14" ht="16.5" customHeight="1">
      <c r="A33" s="105"/>
      <c r="B33" s="333"/>
      <c r="C33" s="27" t="s">
        <v>385</v>
      </c>
      <c r="D33" s="326">
        <v>39.14</v>
      </c>
      <c r="E33" s="119">
        <f>(D33-D32)/D32</f>
        <v>5.1867777479172254E-2</v>
      </c>
      <c r="H33" s="27" t="s">
        <v>385</v>
      </c>
      <c r="I33" s="326">
        <v>59.09</v>
      </c>
      <c r="J33" s="134">
        <f>(I33-I32)/I32</f>
        <v>0.17521877486077966</v>
      </c>
    </row>
    <row r="34" spans="1:14" ht="16.5" customHeight="1" thickBot="1">
      <c r="A34" s="105"/>
      <c r="B34" s="333"/>
      <c r="C34" s="347"/>
      <c r="E34" s="134"/>
      <c r="F34" s="105"/>
      <c r="G34" s="105"/>
      <c r="H34" s="347"/>
      <c r="I34" s="348"/>
      <c r="J34" s="134"/>
    </row>
    <row r="35" spans="1:14" ht="13.5" thickBot="1">
      <c r="A35" s="1204" t="s">
        <v>433</v>
      </c>
      <c r="B35" s="1205"/>
      <c r="C35" s="1205"/>
      <c r="D35" s="1206"/>
      <c r="F35" s="1204" t="s">
        <v>434</v>
      </c>
      <c r="G35" s="1205"/>
      <c r="H35" s="1205"/>
      <c r="I35" s="1206"/>
      <c r="J35" s="349"/>
      <c r="K35" s="1204" t="s">
        <v>435</v>
      </c>
      <c r="L35" s="1205"/>
      <c r="M35" s="1205"/>
      <c r="N35" s="1206"/>
    </row>
    <row r="36" spans="1:14">
      <c r="A36" s="109"/>
      <c r="B36" s="111" t="s">
        <v>299</v>
      </c>
      <c r="C36" s="327" t="s">
        <v>300</v>
      </c>
      <c r="D36" s="328" t="s">
        <v>301</v>
      </c>
      <c r="F36" s="109"/>
      <c r="G36" s="105" t="s">
        <v>299</v>
      </c>
      <c r="H36" s="327" t="s">
        <v>300</v>
      </c>
      <c r="I36" s="329" t="s">
        <v>301</v>
      </c>
      <c r="K36" s="109"/>
      <c r="L36" s="111" t="s">
        <v>299</v>
      </c>
      <c r="M36" s="327" t="s">
        <v>300</v>
      </c>
      <c r="N36" s="328" t="s">
        <v>301</v>
      </c>
    </row>
    <row r="37" spans="1:14">
      <c r="A37" s="281" t="s">
        <v>303</v>
      </c>
      <c r="B37" s="282" t="e">
        <f>L6</f>
        <v>#REF!</v>
      </c>
      <c r="C37" s="308">
        <f>O6</f>
        <v>0.45454545454545453</v>
      </c>
      <c r="D37" s="283" t="e">
        <f>B37*C37</f>
        <v>#REF!</v>
      </c>
      <c r="F37" s="281" t="s">
        <v>303</v>
      </c>
      <c r="G37" s="282" t="e">
        <f>L6</f>
        <v>#REF!</v>
      </c>
      <c r="H37" s="308">
        <f>P6</f>
        <v>0.17141009055627424</v>
      </c>
      <c r="I37" s="283" t="e">
        <f>G37*H37</f>
        <v>#REF!</v>
      </c>
      <c r="K37" s="281" t="s">
        <v>303</v>
      </c>
      <c r="L37" s="282" t="e">
        <f>L6</f>
        <v>#REF!</v>
      </c>
      <c r="M37" s="308">
        <f>Q6</f>
        <v>0.57834862385321095</v>
      </c>
      <c r="N37" s="283" t="e">
        <f>L37*M37</f>
        <v>#REF!</v>
      </c>
    </row>
    <row r="38" spans="1:14">
      <c r="A38" s="281" t="s">
        <v>319</v>
      </c>
      <c r="B38" s="282" t="e">
        <f>L7</f>
        <v>#REF!</v>
      </c>
      <c r="C38" s="308">
        <v>0.65</v>
      </c>
      <c r="D38" s="283" t="e">
        <f>B38*C38</f>
        <v>#REF!</v>
      </c>
      <c r="F38" s="281" t="s">
        <v>319</v>
      </c>
      <c r="G38" s="282" t="e">
        <f>L7</f>
        <v>#REF!</v>
      </c>
      <c r="H38" s="308">
        <v>0.52</v>
      </c>
      <c r="I38" s="283" t="e">
        <f>G38*H38</f>
        <v>#REF!</v>
      </c>
      <c r="K38" s="281" t="s">
        <v>319</v>
      </c>
      <c r="L38" s="282" t="e">
        <f>L7</f>
        <v>#REF!</v>
      </c>
      <c r="M38" s="308">
        <v>1.02</v>
      </c>
      <c r="N38" s="283" t="e">
        <f>L38*M38</f>
        <v>#REF!</v>
      </c>
    </row>
    <row r="39" spans="1:14">
      <c r="A39" s="281" t="s">
        <v>360</v>
      </c>
      <c r="B39" s="282" t="e">
        <f>L8</f>
        <v>#REF!</v>
      </c>
      <c r="C39" s="308">
        <v>0.64</v>
      </c>
      <c r="D39" s="283" t="e">
        <f>B39*C39</f>
        <v>#REF!</v>
      </c>
      <c r="F39" s="281" t="s">
        <v>360</v>
      </c>
      <c r="G39" s="282" t="e">
        <f>L8</f>
        <v>#REF!</v>
      </c>
      <c r="H39" s="308">
        <v>0.51</v>
      </c>
      <c r="I39" s="283" t="e">
        <f>G39*H39</f>
        <v>#REF!</v>
      </c>
      <c r="K39" s="281" t="s">
        <v>360</v>
      </c>
      <c r="L39" s="282" t="e">
        <f>L8</f>
        <v>#REF!</v>
      </c>
      <c r="M39" s="308">
        <v>1.02</v>
      </c>
      <c r="N39" s="283" t="e">
        <f>L39*M39</f>
        <v>#REF!</v>
      </c>
    </row>
    <row r="40" spans="1:14">
      <c r="A40" s="290" t="s">
        <v>324</v>
      </c>
      <c r="B40" s="282" t="e">
        <f>L9</f>
        <v>#REF!</v>
      </c>
      <c r="C40" s="308">
        <f>O9</f>
        <v>1.05</v>
      </c>
      <c r="D40" s="283" t="e">
        <f>B40*C40</f>
        <v>#REF!</v>
      </c>
      <c r="F40" s="290" t="s">
        <v>324</v>
      </c>
      <c r="G40" s="282" t="e">
        <f>L9</f>
        <v>#REF!</v>
      </c>
      <c r="H40" s="308">
        <f>P9</f>
        <v>1.91</v>
      </c>
      <c r="I40" s="283" t="e">
        <f>G40*H40</f>
        <v>#REF!</v>
      </c>
      <c r="K40" s="290" t="s">
        <v>324</v>
      </c>
      <c r="L40" s="282"/>
      <c r="M40" s="308"/>
      <c r="N40" s="283"/>
    </row>
    <row r="41" spans="1:14">
      <c r="A41" s="290" t="s">
        <v>322</v>
      </c>
      <c r="B41" s="282" t="e">
        <f>L10</f>
        <v>#REF!</v>
      </c>
      <c r="C41" s="308">
        <f>O10</f>
        <v>0.25</v>
      </c>
      <c r="D41" s="283" t="e">
        <f>B41*C41</f>
        <v>#REF!</v>
      </c>
      <c r="F41" s="290" t="s">
        <v>322</v>
      </c>
      <c r="G41" s="282" t="e">
        <f>L10</f>
        <v>#REF!</v>
      </c>
      <c r="H41" s="308">
        <f>P10</f>
        <v>0.16558861578266496</v>
      </c>
      <c r="I41" s="283" t="e">
        <f>G41*H41</f>
        <v>#REF!</v>
      </c>
      <c r="K41" s="290" t="s">
        <v>322</v>
      </c>
      <c r="L41" s="282" t="e">
        <f>L10</f>
        <v>#REF!</v>
      </c>
      <c r="M41" s="308">
        <f>Q10</f>
        <v>0.13064220183486239</v>
      </c>
      <c r="N41" s="283" t="e">
        <f>L41*M41</f>
        <v>#REF!</v>
      </c>
    </row>
    <row r="42" spans="1:14">
      <c r="A42" s="290"/>
      <c r="B42" s="282"/>
      <c r="C42" s="308"/>
      <c r="D42" s="283"/>
      <c r="F42" s="290"/>
      <c r="G42" s="282"/>
      <c r="H42" s="308"/>
      <c r="I42" s="283"/>
      <c r="K42" s="290"/>
      <c r="L42" s="282"/>
      <c r="M42" s="308"/>
      <c r="N42" s="283"/>
    </row>
    <row r="43" spans="1:14">
      <c r="A43" s="290"/>
      <c r="B43" s="282"/>
      <c r="C43" s="308"/>
      <c r="D43" s="283"/>
      <c r="F43" s="290"/>
      <c r="G43" s="282"/>
      <c r="H43" s="308"/>
      <c r="I43" s="283"/>
      <c r="K43" s="290"/>
      <c r="L43" s="282"/>
      <c r="M43" s="308"/>
      <c r="N43" s="283"/>
    </row>
    <row r="44" spans="1:14">
      <c r="A44" s="116" t="s">
        <v>326</v>
      </c>
      <c r="B44" s="330"/>
      <c r="C44" s="331">
        <f>SUM(C37:C41)</f>
        <v>3.0445454545454549</v>
      </c>
      <c r="D44" s="332" t="e">
        <f>SUM(D37:D41)</f>
        <v>#REF!</v>
      </c>
      <c r="F44" s="116" t="s">
        <v>326</v>
      </c>
      <c r="G44" s="330"/>
      <c r="H44" s="331">
        <f>SUM(H37:H41)</f>
        <v>3.2769987063389387</v>
      </c>
      <c r="I44" s="332" t="e">
        <f>SUM(I37:I41)</f>
        <v>#REF!</v>
      </c>
      <c r="K44" s="116" t="s">
        <v>326</v>
      </c>
      <c r="L44" s="330"/>
      <c r="M44" s="331">
        <f>SUM(M37:M41)</f>
        <v>2.7489908256880735</v>
      </c>
      <c r="N44" s="332" t="e">
        <f>SUM(N37:N41)</f>
        <v>#REF!</v>
      </c>
    </row>
    <row r="45" spans="1:14">
      <c r="A45" s="109"/>
      <c r="B45" s="333"/>
      <c r="C45" s="334"/>
      <c r="D45" s="329"/>
      <c r="F45" s="109"/>
      <c r="G45" s="333"/>
      <c r="H45" s="334"/>
      <c r="I45" s="329"/>
      <c r="K45" s="109"/>
      <c r="L45" s="333"/>
      <c r="M45" s="350"/>
      <c r="N45" s="329"/>
    </row>
    <row r="46" spans="1:14">
      <c r="A46" s="109" t="s">
        <v>328</v>
      </c>
      <c r="B46" s="333"/>
      <c r="C46" s="327"/>
      <c r="D46" s="329"/>
      <c r="F46" s="109" t="s">
        <v>328</v>
      </c>
      <c r="G46" s="333"/>
      <c r="H46" s="351"/>
      <c r="I46" s="329"/>
      <c r="K46" s="109" t="s">
        <v>328</v>
      </c>
      <c r="L46" s="333"/>
      <c r="M46" s="351"/>
      <c r="N46" s="329"/>
    </row>
    <row r="47" spans="1:14">
      <c r="A47" s="110" t="s">
        <v>329</v>
      </c>
      <c r="B47" s="335">
        <f>L12</f>
        <v>0.24199999999999999</v>
      </c>
      <c r="C47" s="336"/>
      <c r="D47" s="283" t="e">
        <f>B47*D44</f>
        <v>#REF!</v>
      </c>
      <c r="F47" s="110" t="s">
        <v>329</v>
      </c>
      <c r="G47" s="352">
        <f>L12</f>
        <v>0.24199999999999999</v>
      </c>
      <c r="H47" s="353"/>
      <c r="I47" s="283" t="e">
        <f>G47*I44</f>
        <v>#REF!</v>
      </c>
      <c r="K47" s="110" t="s">
        <v>329</v>
      </c>
      <c r="L47" s="352">
        <f>L12</f>
        <v>0.24199999999999999</v>
      </c>
      <c r="M47" s="353"/>
      <c r="N47" s="283" t="e">
        <f>N44*L47</f>
        <v>#REF!</v>
      </c>
    </row>
    <row r="48" spans="1:14">
      <c r="A48" s="303" t="s">
        <v>331</v>
      </c>
      <c r="B48" s="304"/>
      <c r="C48" s="305"/>
      <c r="D48" s="332" t="e">
        <f>D44+D47</f>
        <v>#REF!</v>
      </c>
      <c r="F48" s="303" t="s">
        <v>331</v>
      </c>
      <c r="G48" s="304"/>
      <c r="H48" s="117"/>
      <c r="I48" s="332" t="e">
        <f>I44+I47</f>
        <v>#REF!</v>
      </c>
      <c r="K48" s="303" t="s">
        <v>331</v>
      </c>
      <c r="L48" s="304"/>
      <c r="M48" s="117"/>
      <c r="N48" s="332" t="e">
        <f>N44+N47</f>
        <v>#REF!</v>
      </c>
    </row>
    <row r="49" spans="1:15">
      <c r="A49" s="110" t="s">
        <v>209</v>
      </c>
      <c r="B49" s="306"/>
      <c r="C49" s="307">
        <f t="shared" ref="C49:C55" si="5">L14</f>
        <v>5963.9694954316819</v>
      </c>
      <c r="D49" s="283">
        <f t="shared" ref="D49:D55" si="6">C49*$C$44</f>
        <v>18157.576218364276</v>
      </c>
      <c r="F49" s="110" t="s">
        <v>209</v>
      </c>
      <c r="G49" s="306"/>
      <c r="H49" s="317">
        <f t="shared" ref="H49:H55" si="7">L14</f>
        <v>5963.9694954316819</v>
      </c>
      <c r="I49" s="283">
        <f t="shared" ref="I49:I55" si="8">H49*$H$44</f>
        <v>19543.920321174515</v>
      </c>
      <c r="K49" s="110" t="s">
        <v>209</v>
      </c>
      <c r="L49" s="306"/>
      <c r="M49" s="317">
        <f t="shared" ref="M49:M55" si="9">L14</f>
        <v>5963.9694954316819</v>
      </c>
      <c r="N49" s="283">
        <f t="shared" ref="N49:N55" si="10">M49*$M$44</f>
        <v>16394.897427625223</v>
      </c>
    </row>
    <row r="50" spans="1:15">
      <c r="A50" s="110" t="s">
        <v>214</v>
      </c>
      <c r="B50" s="306"/>
      <c r="C50" s="307">
        <f t="shared" si="5"/>
        <v>159.61973086509079</v>
      </c>
      <c r="D50" s="283">
        <f t="shared" si="6"/>
        <v>485.96952606108101</v>
      </c>
      <c r="F50" s="110" t="s">
        <v>214</v>
      </c>
      <c r="G50" s="306"/>
      <c r="H50" s="317">
        <f t="shared" si="7"/>
        <v>159.61973086509079</v>
      </c>
      <c r="I50" s="283">
        <f t="shared" si="8"/>
        <v>523.07365155107209</v>
      </c>
      <c r="K50" s="110" t="s">
        <v>214</v>
      </c>
      <c r="L50" s="306"/>
      <c r="M50" s="317">
        <f t="shared" si="9"/>
        <v>159.61973086509079</v>
      </c>
      <c r="N50" s="283">
        <f t="shared" si="10"/>
        <v>438.79317574693397</v>
      </c>
    </row>
    <row r="51" spans="1:15">
      <c r="A51" s="110" t="s">
        <v>215</v>
      </c>
      <c r="B51" s="306"/>
      <c r="C51" s="307">
        <f t="shared" si="5"/>
        <v>1056.8783932396871</v>
      </c>
      <c r="D51" s="283">
        <f t="shared" si="6"/>
        <v>3217.7143081451932</v>
      </c>
      <c r="F51" s="110" t="s">
        <v>215</v>
      </c>
      <c r="G51" s="306"/>
      <c r="H51" s="317">
        <f t="shared" si="7"/>
        <v>1056.8783932396871</v>
      </c>
      <c r="I51" s="283">
        <f t="shared" si="8"/>
        <v>3463.3891274040307</v>
      </c>
      <c r="K51" s="110" t="s">
        <v>215</v>
      </c>
      <c r="L51" s="306"/>
      <c r="M51" s="317">
        <f t="shared" si="9"/>
        <v>1056.8783932396871</v>
      </c>
      <c r="N51" s="283">
        <f t="shared" si="10"/>
        <v>2905.3490068838519</v>
      </c>
    </row>
    <row r="52" spans="1:15">
      <c r="A52" s="110" t="s">
        <v>216</v>
      </c>
      <c r="B52" s="306"/>
      <c r="C52" s="307">
        <f t="shared" si="5"/>
        <v>659.46971027355744</v>
      </c>
      <c r="D52" s="283">
        <f t="shared" si="6"/>
        <v>2007.7855088237675</v>
      </c>
      <c r="F52" s="110" t="s">
        <v>216</v>
      </c>
      <c r="G52" s="306"/>
      <c r="H52" s="317">
        <f t="shared" si="7"/>
        <v>659.46971027355744</v>
      </c>
      <c r="I52" s="283">
        <f t="shared" si="8"/>
        <v>2161.0813874361625</v>
      </c>
      <c r="K52" s="110" t="s">
        <v>216</v>
      </c>
      <c r="L52" s="306"/>
      <c r="M52" s="317">
        <f t="shared" si="9"/>
        <v>659.46971027355744</v>
      </c>
      <c r="N52" s="283">
        <f t="shared" si="10"/>
        <v>1812.8761833611813</v>
      </c>
    </row>
    <row r="53" spans="1:15">
      <c r="A53" s="110" t="s">
        <v>217</v>
      </c>
      <c r="B53" s="306"/>
      <c r="C53" s="307">
        <f t="shared" si="5"/>
        <v>474.11060420697481</v>
      </c>
      <c r="D53" s="283">
        <f t="shared" si="6"/>
        <v>1443.4512849901444</v>
      </c>
      <c r="F53" s="110" t="s">
        <v>217</v>
      </c>
      <c r="G53" s="306"/>
      <c r="H53" s="317">
        <f t="shared" si="7"/>
        <v>474.11060420697481</v>
      </c>
      <c r="I53" s="283">
        <f t="shared" si="8"/>
        <v>1553.659836647829</v>
      </c>
      <c r="K53" s="110" t="s">
        <v>217</v>
      </c>
      <c r="L53" s="306"/>
      <c r="M53" s="317">
        <f t="shared" si="9"/>
        <v>474.11060420697481</v>
      </c>
      <c r="N53" s="283">
        <f t="shared" si="10"/>
        <v>1303.3257013264031</v>
      </c>
    </row>
    <row r="54" spans="1:15">
      <c r="A54" s="110" t="s">
        <v>221</v>
      </c>
      <c r="B54" s="306"/>
      <c r="C54" s="307">
        <f t="shared" si="5"/>
        <v>1733.9343036087084</v>
      </c>
      <c r="D54" s="283">
        <f t="shared" si="6"/>
        <v>5279.0418025323324</v>
      </c>
      <c r="F54" s="110" t="s">
        <v>221</v>
      </c>
      <c r="G54" s="306"/>
      <c r="H54" s="317">
        <f t="shared" si="7"/>
        <v>1733.9343036087084</v>
      </c>
      <c r="I54" s="283">
        <f t="shared" si="8"/>
        <v>5682.1004698024462</v>
      </c>
      <c r="K54" s="110" t="s">
        <v>221</v>
      </c>
      <c r="L54" s="306"/>
      <c r="M54" s="317">
        <f t="shared" si="9"/>
        <v>1733.9343036087084</v>
      </c>
      <c r="N54" s="283">
        <f t="shared" si="10"/>
        <v>4766.5694929661786</v>
      </c>
    </row>
    <row r="55" spans="1:15">
      <c r="A55" s="110" t="s">
        <v>225</v>
      </c>
      <c r="B55" s="306"/>
      <c r="C55" s="307">
        <f t="shared" si="5"/>
        <v>1347.3502436316674</v>
      </c>
      <c r="D55" s="283">
        <f t="shared" si="6"/>
        <v>4102.069059929504</v>
      </c>
      <c r="F55" s="110" t="s">
        <v>225</v>
      </c>
      <c r="G55" s="306"/>
      <c r="H55" s="317">
        <f t="shared" si="7"/>
        <v>1347.3502436316674</v>
      </c>
      <c r="I55" s="283">
        <f t="shared" si="8"/>
        <v>4415.2650053664274</v>
      </c>
      <c r="K55" s="110" t="s">
        <v>225</v>
      </c>
      <c r="L55" s="306"/>
      <c r="M55" s="317">
        <f t="shared" si="9"/>
        <v>1347.3502436316674</v>
      </c>
      <c r="N55" s="283">
        <f t="shared" si="10"/>
        <v>3703.8534587320441</v>
      </c>
    </row>
    <row r="56" spans="1:15">
      <c r="A56" s="110"/>
      <c r="B56" s="306"/>
      <c r="C56" s="308"/>
      <c r="D56" s="329"/>
      <c r="F56" s="110"/>
      <c r="G56" s="306"/>
      <c r="H56" s="318"/>
      <c r="I56" s="329"/>
      <c r="K56" s="110"/>
      <c r="L56" s="306"/>
      <c r="M56" s="318"/>
      <c r="N56" s="329"/>
    </row>
    <row r="57" spans="1:15" ht="15" customHeight="1">
      <c r="A57" s="110"/>
      <c r="B57" s="306"/>
      <c r="C57" s="308"/>
      <c r="D57" s="329"/>
      <c r="F57" s="110"/>
      <c r="G57" s="306"/>
      <c r="H57" s="318"/>
      <c r="I57" s="329"/>
      <c r="K57" s="110"/>
      <c r="L57" s="306"/>
      <c r="M57" s="318"/>
      <c r="N57" s="329"/>
    </row>
    <row r="58" spans="1:15" ht="15.75" customHeight="1">
      <c r="A58" s="110"/>
      <c r="B58" s="306"/>
      <c r="C58" s="308"/>
      <c r="D58" s="329"/>
      <c r="F58" s="110"/>
      <c r="G58" s="306"/>
      <c r="H58" s="318"/>
      <c r="I58" s="329"/>
      <c r="K58" s="110"/>
      <c r="L58" s="306"/>
      <c r="M58" s="318"/>
      <c r="N58" s="329"/>
    </row>
    <row r="59" spans="1:15">
      <c r="A59" s="110" t="s">
        <v>337</v>
      </c>
      <c r="B59" s="119"/>
      <c r="C59" s="308"/>
      <c r="D59" s="283">
        <f>SUM(D49:D58)</f>
        <v>34693.607708846299</v>
      </c>
      <c r="F59" s="110" t="s">
        <v>337</v>
      </c>
      <c r="G59" s="119"/>
      <c r="H59" s="318"/>
      <c r="I59" s="283">
        <f>SUM(I49:I58)</f>
        <v>37342.489799382485</v>
      </c>
      <c r="K59" s="110" t="s">
        <v>337</v>
      </c>
      <c r="L59" s="119"/>
      <c r="M59" s="318"/>
      <c r="N59" s="283">
        <f>SUM(N49:N58)</f>
        <v>31325.664446641818</v>
      </c>
    </row>
    <row r="60" spans="1:15">
      <c r="A60" s="303" t="s">
        <v>338</v>
      </c>
      <c r="B60" s="304"/>
      <c r="C60" s="305"/>
      <c r="D60" s="332" t="e">
        <f>D48+D59</f>
        <v>#REF!</v>
      </c>
      <c r="F60" s="303" t="s">
        <v>338</v>
      </c>
      <c r="G60" s="304"/>
      <c r="H60" s="117"/>
      <c r="I60" s="332" t="e">
        <f>I48+I59</f>
        <v>#REF!</v>
      </c>
      <c r="K60" s="303" t="s">
        <v>338</v>
      </c>
      <c r="L60" s="304"/>
      <c r="M60" s="117"/>
      <c r="N60" s="332" t="e">
        <f>N48+N59</f>
        <v>#REF!</v>
      </c>
    </row>
    <row r="61" spans="1:15">
      <c r="A61" s="110" t="s">
        <v>432</v>
      </c>
      <c r="B61" s="119">
        <f>L13</f>
        <v>0.12</v>
      </c>
      <c r="C61" s="308"/>
      <c r="D61" s="283" t="e">
        <f>B61*D60</f>
        <v>#REF!</v>
      </c>
      <c r="F61" s="110" t="s">
        <v>432</v>
      </c>
      <c r="G61" s="119">
        <f>L13</f>
        <v>0.12</v>
      </c>
      <c r="H61" s="318"/>
      <c r="I61" s="283" t="e">
        <f>G61*I60</f>
        <v>#REF!</v>
      </c>
      <c r="K61" s="110" t="s">
        <v>432</v>
      </c>
      <c r="L61" s="119">
        <f>L13</f>
        <v>0.12</v>
      </c>
      <c r="M61" s="318"/>
      <c r="N61" s="283" t="e">
        <f>L61*N60</f>
        <v>#REF!</v>
      </c>
    </row>
    <row r="62" spans="1:15" ht="13.5" thickBot="1">
      <c r="A62" s="338" t="s">
        <v>342</v>
      </c>
      <c r="B62" s="339"/>
      <c r="C62" s="340"/>
      <c r="D62" s="341" t="e">
        <f>D61+D60</f>
        <v>#REF!</v>
      </c>
      <c r="F62" s="338" t="s">
        <v>342</v>
      </c>
      <c r="G62" s="339"/>
      <c r="H62" s="354"/>
      <c r="I62" s="341" t="e">
        <f>I61+I60</f>
        <v>#REF!</v>
      </c>
      <c r="K62" s="338" t="s">
        <v>342</v>
      </c>
      <c r="L62" s="339"/>
      <c r="M62" s="354"/>
      <c r="N62" s="341" t="e">
        <f>N61+N60</f>
        <v>#REF!</v>
      </c>
    </row>
    <row r="63" spans="1:15" ht="13.5" thickTop="1">
      <c r="A63" s="110" t="s">
        <v>343</v>
      </c>
      <c r="C63" s="316"/>
      <c r="D63" s="73">
        <v>10</v>
      </c>
      <c r="F63" s="110" t="s">
        <v>343</v>
      </c>
      <c r="I63" s="73">
        <v>10</v>
      </c>
      <c r="K63" s="110" t="s">
        <v>343</v>
      </c>
      <c r="N63" s="73">
        <v>10</v>
      </c>
      <c r="O63" s="318"/>
    </row>
    <row r="64" spans="1:15">
      <c r="A64" s="110" t="s">
        <v>344</v>
      </c>
      <c r="B64" s="333"/>
      <c r="C64" s="334"/>
      <c r="D64" s="342" t="e">
        <f>(D62/D63)/365</f>
        <v>#REF!</v>
      </c>
      <c r="F64" s="110" t="s">
        <v>344</v>
      </c>
      <c r="G64" s="333"/>
      <c r="H64" s="350"/>
      <c r="I64" s="342" t="e">
        <f>(I62/I63)/365</f>
        <v>#REF!</v>
      </c>
      <c r="K64" s="110" t="s">
        <v>344</v>
      </c>
      <c r="L64" s="333"/>
      <c r="M64" s="350"/>
      <c r="N64" s="342" t="e">
        <f>(N62/N63)/365</f>
        <v>#REF!</v>
      </c>
    </row>
    <row r="65" spans="1:15" ht="13.5" thickBot="1">
      <c r="A65" s="343" t="str">
        <f>A31</f>
        <v>CAF (Jan 2022)</v>
      </c>
      <c r="B65" s="344" t="e">
        <f>B31</f>
        <v>#REF!</v>
      </c>
      <c r="C65" s="345"/>
      <c r="D65" s="346" t="e">
        <f>D64*(1+B65)</f>
        <v>#REF!</v>
      </c>
      <c r="E65" s="134" t="e">
        <f>(D65-D66)/D66</f>
        <v>#REF!</v>
      </c>
      <c r="F65" s="343" t="str">
        <f>F31</f>
        <v>CAF (Jan 2022)</v>
      </c>
      <c r="G65" s="355" t="e">
        <f>G31</f>
        <v>#REF!</v>
      </c>
      <c r="H65" s="356"/>
      <c r="I65" s="357" t="e">
        <f>I64*(1+G65)</f>
        <v>#REF!</v>
      </c>
      <c r="J65" s="134" t="e">
        <f>(I65-I66)/I66</f>
        <v>#REF!</v>
      </c>
      <c r="K65" s="343" t="str">
        <f>F31</f>
        <v>CAF (Jan 2022)</v>
      </c>
      <c r="L65" s="355" t="e">
        <f>G31</f>
        <v>#REF!</v>
      </c>
      <c r="M65" s="356"/>
      <c r="N65" s="357" t="e">
        <f>N64*(L65+1)</f>
        <v>#REF!</v>
      </c>
      <c r="O65" s="134" t="e">
        <f>(N65-N66)/N66</f>
        <v>#REF!</v>
      </c>
    </row>
    <row r="66" spans="1:15">
      <c r="C66" s="27" t="s">
        <v>384</v>
      </c>
      <c r="D66" s="207">
        <v>68.37</v>
      </c>
      <c r="E66" s="134"/>
      <c r="H66" s="27" t="s">
        <v>384</v>
      </c>
      <c r="I66" s="207">
        <v>67.650000000000006</v>
      </c>
      <c r="J66" s="134"/>
      <c r="M66" s="27" t="s">
        <v>384</v>
      </c>
      <c r="N66" s="207">
        <v>71.59</v>
      </c>
      <c r="O66" s="134"/>
    </row>
    <row r="67" spans="1:15">
      <c r="C67" s="27" t="s">
        <v>385</v>
      </c>
      <c r="D67" s="207">
        <v>73.19</v>
      </c>
      <c r="E67" s="134">
        <f>(D67-D66)/D66</f>
        <v>7.0498756764662759E-2</v>
      </c>
      <c r="H67" s="27" t="s">
        <v>385</v>
      </c>
      <c r="I67" s="207">
        <v>74.34</v>
      </c>
      <c r="J67" s="134">
        <f>(I67-I66)/I66</f>
        <v>9.8891352549889094E-2</v>
      </c>
      <c r="M67" s="27" t="s">
        <v>385</v>
      </c>
      <c r="N67" s="207">
        <v>72.599999999999994</v>
      </c>
      <c r="O67" s="134">
        <f>(N67-N66)/N66</f>
        <v>1.4108115658611409E-2</v>
      </c>
    </row>
    <row r="68" spans="1:15" ht="13.5" thickBot="1">
      <c r="E68" s="134"/>
      <c r="J68" s="134"/>
    </row>
    <row r="69" spans="1:15" ht="13.5" thickBot="1">
      <c r="A69" s="1204" t="s">
        <v>436</v>
      </c>
      <c r="B69" s="1153"/>
      <c r="C69" s="1153"/>
      <c r="D69" s="1154"/>
      <c r="F69" s="1204" t="s">
        <v>437</v>
      </c>
      <c r="G69" s="1205"/>
      <c r="H69" s="1205"/>
      <c r="I69" s="1206"/>
      <c r="K69" s="1204" t="s">
        <v>438</v>
      </c>
      <c r="L69" s="1205"/>
      <c r="M69" s="1205"/>
      <c r="N69" s="1206"/>
    </row>
    <row r="70" spans="1:15">
      <c r="A70" s="109"/>
      <c r="B70" s="111" t="s">
        <v>299</v>
      </c>
      <c r="C70" s="327" t="s">
        <v>300</v>
      </c>
      <c r="D70" s="328" t="s">
        <v>301</v>
      </c>
      <c r="F70" s="109"/>
      <c r="G70" s="111" t="s">
        <v>299</v>
      </c>
      <c r="H70" s="327" t="s">
        <v>300</v>
      </c>
      <c r="I70" s="328" t="s">
        <v>301</v>
      </c>
      <c r="K70" s="110"/>
      <c r="L70" s="111" t="s">
        <v>299</v>
      </c>
      <c r="M70" s="327" t="s">
        <v>300</v>
      </c>
      <c r="N70" s="328" t="s">
        <v>301</v>
      </c>
    </row>
    <row r="71" spans="1:15">
      <c r="A71" s="281" t="s">
        <v>303</v>
      </c>
      <c r="B71" s="282" t="e">
        <f>L6</f>
        <v>#REF!</v>
      </c>
      <c r="C71" s="308">
        <f>R6</f>
        <v>0.69090909090909092</v>
      </c>
      <c r="D71" s="283" t="e">
        <f>B71*C71</f>
        <v>#REF!</v>
      </c>
      <c r="F71" s="281" t="s">
        <v>303</v>
      </c>
      <c r="G71" s="282" t="e">
        <f>L6</f>
        <v>#REF!</v>
      </c>
      <c r="H71" s="308">
        <f>S6</f>
        <v>0.54186582691334406</v>
      </c>
      <c r="I71" s="283" t="e">
        <f>G71*H71</f>
        <v>#REF!</v>
      </c>
      <c r="K71" s="281" t="s">
        <v>303</v>
      </c>
      <c r="L71" s="282" t="e">
        <f>L6</f>
        <v>#REF!</v>
      </c>
      <c r="M71" s="308">
        <f>T6</f>
        <v>0.56619472021660655</v>
      </c>
      <c r="N71" s="283" t="e">
        <f>L71*M71</f>
        <v>#REF!</v>
      </c>
    </row>
    <row r="72" spans="1:15">
      <c r="A72" s="281" t="s">
        <v>319</v>
      </c>
      <c r="B72" s="282" t="e">
        <f>L7</f>
        <v>#REF!</v>
      </c>
      <c r="C72" s="308">
        <v>1.0900000000000001</v>
      </c>
      <c r="D72" s="283" t="e">
        <f>B72*C72</f>
        <v>#REF!</v>
      </c>
      <c r="F72" s="281" t="s">
        <v>319</v>
      </c>
      <c r="G72" s="282" t="e">
        <f>L7</f>
        <v>#REF!</v>
      </c>
      <c r="H72" s="308">
        <v>1.47</v>
      </c>
      <c r="I72" s="283" t="e">
        <f>G72*H72</f>
        <v>#REF!</v>
      </c>
      <c r="K72" s="281" t="s">
        <v>319</v>
      </c>
      <c r="L72" s="282" t="e">
        <f>L7</f>
        <v>#REF!</v>
      </c>
      <c r="M72" s="308">
        <v>1.0900000000000001</v>
      </c>
      <c r="N72" s="283" t="e">
        <f>L72*M72</f>
        <v>#REF!</v>
      </c>
    </row>
    <row r="73" spans="1:15">
      <c r="A73" s="281" t="s">
        <v>360</v>
      </c>
      <c r="B73" s="282" t="e">
        <f>L8</f>
        <v>#REF!</v>
      </c>
      <c r="C73" s="308">
        <v>1.0900000000000001</v>
      </c>
      <c r="D73" s="283" t="e">
        <f>B73*C73</f>
        <v>#REF!</v>
      </c>
      <c r="F73" s="281" t="s">
        <v>360</v>
      </c>
      <c r="G73" s="282" t="e">
        <f>L8</f>
        <v>#REF!</v>
      </c>
      <c r="H73" s="308">
        <v>1.48</v>
      </c>
      <c r="I73" s="283" t="e">
        <f>G73*H73</f>
        <v>#REF!</v>
      </c>
      <c r="K73" s="281" t="s">
        <v>360</v>
      </c>
      <c r="L73" s="282" t="e">
        <f>L8</f>
        <v>#REF!</v>
      </c>
      <c r="M73" s="308">
        <v>1.0900000000000001</v>
      </c>
      <c r="N73" s="283" t="e">
        <f>L73*M73</f>
        <v>#REF!</v>
      </c>
    </row>
    <row r="74" spans="1:15">
      <c r="A74" s="290" t="s">
        <v>324</v>
      </c>
      <c r="B74" s="282" t="e">
        <f>L9</f>
        <v>#REF!</v>
      </c>
      <c r="C74" s="308">
        <f>R9</f>
        <v>1.21</v>
      </c>
      <c r="D74" s="283" t="e">
        <f>B74*C74</f>
        <v>#REF!</v>
      </c>
      <c r="F74" s="290" t="s">
        <v>324</v>
      </c>
      <c r="G74" s="282" t="e">
        <f>L9</f>
        <v>#REF!</v>
      </c>
      <c r="H74" s="308">
        <f>S9</f>
        <v>3.79</v>
      </c>
      <c r="I74" s="283" t="e">
        <f>G74*H74</f>
        <v>#REF!</v>
      </c>
      <c r="K74" s="290" t="s">
        <v>324</v>
      </c>
      <c r="L74" s="282" t="e">
        <f>L9</f>
        <v>#REF!</v>
      </c>
      <c r="M74" s="308">
        <f>T9</f>
        <v>2.39</v>
      </c>
      <c r="N74" s="283" t="e">
        <f>L74*M74</f>
        <v>#REF!</v>
      </c>
    </row>
    <row r="75" spans="1:15">
      <c r="A75" s="290" t="s">
        <v>322</v>
      </c>
      <c r="B75" s="282" t="e">
        <f>L10</f>
        <v>#REF!</v>
      </c>
      <c r="C75" s="308">
        <f>R10</f>
        <v>0.20489510489510487</v>
      </c>
      <c r="D75" s="283" t="e">
        <f>B75*C75</f>
        <v>#REF!</v>
      </c>
      <c r="F75" s="290" t="s">
        <v>322</v>
      </c>
      <c r="G75" s="282" t="e">
        <f>L10</f>
        <v>#REF!</v>
      </c>
      <c r="H75" s="308">
        <f>S10</f>
        <v>0.33456109767755715</v>
      </c>
      <c r="I75" s="283" t="e">
        <f>G75*H75</f>
        <v>#REF!</v>
      </c>
      <c r="K75" s="290" t="s">
        <v>322</v>
      </c>
      <c r="L75" s="282" t="e">
        <f>L10</f>
        <v>#REF!</v>
      </c>
      <c r="M75" s="308">
        <f>T10</f>
        <v>0.47354467509025272</v>
      </c>
      <c r="N75" s="283" t="e">
        <f>L75*M75</f>
        <v>#REF!</v>
      </c>
    </row>
    <row r="76" spans="1:15">
      <c r="A76" s="290"/>
      <c r="B76" s="282"/>
      <c r="C76" s="308"/>
      <c r="D76" s="283"/>
      <c r="F76" s="290"/>
      <c r="G76" s="282"/>
      <c r="H76" s="308"/>
      <c r="I76" s="283"/>
      <c r="K76" s="290"/>
      <c r="L76" s="282"/>
      <c r="M76" s="308"/>
      <c r="N76" s="283"/>
    </row>
    <row r="77" spans="1:15">
      <c r="A77" s="290"/>
      <c r="B77" s="282"/>
      <c r="C77" s="308"/>
      <c r="D77" s="283"/>
      <c r="F77" s="290"/>
      <c r="G77" s="282"/>
      <c r="H77" s="308"/>
      <c r="I77" s="283"/>
      <c r="K77" s="290"/>
      <c r="L77" s="282"/>
      <c r="M77" s="308"/>
      <c r="N77" s="283"/>
    </row>
    <row r="78" spans="1:15">
      <c r="A78" s="116" t="s">
        <v>326</v>
      </c>
      <c r="B78" s="330"/>
      <c r="C78" s="331">
        <f>SUM(C71:C75)</f>
        <v>4.2858041958041957</v>
      </c>
      <c r="D78" s="332" t="e">
        <f>SUM(D71:D75)</f>
        <v>#REF!</v>
      </c>
      <c r="F78" s="116" t="s">
        <v>326</v>
      </c>
      <c r="G78" s="330"/>
      <c r="H78" s="331">
        <f>SUM(H71:H75)</f>
        <v>7.6164269245909022</v>
      </c>
      <c r="I78" s="332" t="e">
        <f>SUM(I71:I75)</f>
        <v>#REF!</v>
      </c>
      <c r="K78" s="116" t="s">
        <v>326</v>
      </c>
      <c r="L78" s="330"/>
      <c r="M78" s="331">
        <f>SUM(M71:M75)</f>
        <v>5.6097393953068586</v>
      </c>
      <c r="N78" s="332" t="e">
        <f>SUM(N71:N75)</f>
        <v>#REF!</v>
      </c>
    </row>
    <row r="79" spans="1:15">
      <c r="A79" s="109"/>
      <c r="B79" s="333"/>
      <c r="C79" s="334"/>
      <c r="D79" s="329"/>
      <c r="F79" s="109"/>
      <c r="G79" s="333"/>
      <c r="H79" s="334"/>
      <c r="I79" s="329"/>
      <c r="K79" s="109"/>
      <c r="L79" s="333"/>
      <c r="M79" s="334"/>
      <c r="N79" s="329"/>
    </row>
    <row r="80" spans="1:15" ht="13.5" customHeight="1">
      <c r="A80" s="109" t="s">
        <v>328</v>
      </c>
      <c r="B80" s="333"/>
      <c r="C80" s="327"/>
      <c r="D80" s="329"/>
      <c r="F80" s="109" t="s">
        <v>328</v>
      </c>
      <c r="G80" s="333"/>
      <c r="H80" s="327"/>
      <c r="I80" s="329"/>
      <c r="K80" s="109" t="s">
        <v>328</v>
      </c>
      <c r="L80" s="333"/>
      <c r="M80" s="327"/>
      <c r="N80" s="329"/>
    </row>
    <row r="81" spans="1:18">
      <c r="A81" s="110" t="s">
        <v>329</v>
      </c>
      <c r="B81" s="335">
        <f>L12</f>
        <v>0.24199999999999999</v>
      </c>
      <c r="C81" s="336"/>
      <c r="D81" s="283" t="e">
        <f>B81*D78</f>
        <v>#REF!</v>
      </c>
      <c r="F81" s="110" t="s">
        <v>329</v>
      </c>
      <c r="G81" s="335">
        <f>L12</f>
        <v>0.24199999999999999</v>
      </c>
      <c r="H81" s="336"/>
      <c r="I81" s="283" t="e">
        <f>I78*G81</f>
        <v>#REF!</v>
      </c>
      <c r="K81" s="110" t="s">
        <v>329</v>
      </c>
      <c r="L81" s="335">
        <f>L12</f>
        <v>0.24199999999999999</v>
      </c>
      <c r="M81" s="336"/>
      <c r="N81" s="283" t="e">
        <f>L81*N78</f>
        <v>#REF!</v>
      </c>
    </row>
    <row r="82" spans="1:18">
      <c r="A82" s="303" t="s">
        <v>331</v>
      </c>
      <c r="B82" s="304"/>
      <c r="C82" s="305"/>
      <c r="D82" s="332" t="e">
        <f>D78+D81</f>
        <v>#REF!</v>
      </c>
      <c r="F82" s="303" t="s">
        <v>331</v>
      </c>
      <c r="G82" s="304"/>
      <c r="H82" s="305"/>
      <c r="I82" s="332" t="e">
        <f>I78+I81</f>
        <v>#REF!</v>
      </c>
      <c r="K82" s="303" t="s">
        <v>331</v>
      </c>
      <c r="L82" s="304"/>
      <c r="M82" s="305"/>
      <c r="N82" s="332" t="e">
        <f>SUM(N78+N81)</f>
        <v>#REF!</v>
      </c>
    </row>
    <row r="83" spans="1:18">
      <c r="A83" s="110" t="s">
        <v>209</v>
      </c>
      <c r="B83" s="306"/>
      <c r="C83" s="317">
        <f>L14</f>
        <v>5963.9694954316819</v>
      </c>
      <c r="D83" s="283">
        <f t="shared" ref="D83:D89" si="11">C83*$C$78</f>
        <v>25560.405487169333</v>
      </c>
      <c r="F83" s="110" t="s">
        <v>209</v>
      </c>
      <c r="G83" s="306"/>
      <c r="H83" s="317">
        <f>L14</f>
        <v>5963.9694954316819</v>
      </c>
      <c r="I83" s="283">
        <f t="shared" ref="I83:I89" si="12">H83*$H$78</f>
        <v>45424.137842444681</v>
      </c>
      <c r="K83" s="110" t="s">
        <v>209</v>
      </c>
      <c r="L83" s="306"/>
      <c r="M83" s="317">
        <f>L14</f>
        <v>5963.9694954316819</v>
      </c>
      <c r="N83" s="283">
        <f t="shared" ref="N83:N89" si="13">M83*$M$78</f>
        <v>33456.314630931476</v>
      </c>
    </row>
    <row r="84" spans="1:18">
      <c r="A84" s="110" t="s">
        <v>214</v>
      </c>
      <c r="B84" s="306"/>
      <c r="C84" s="317">
        <f t="shared" ref="C84:C89" si="14">L15</f>
        <v>159.61973086509079</v>
      </c>
      <c r="D84" s="283">
        <f t="shared" si="11"/>
        <v>684.09891227474259</v>
      </c>
      <c r="F84" s="110" t="s">
        <v>214</v>
      </c>
      <c r="G84" s="306"/>
      <c r="H84" s="317">
        <f t="shared" ref="H84:H89" si="15">L15</f>
        <v>159.61973086509079</v>
      </c>
      <c r="I84" s="283">
        <f t="shared" si="12"/>
        <v>1215.7320158568309</v>
      </c>
      <c r="K84" s="110" t="s">
        <v>214</v>
      </c>
      <c r="L84" s="306"/>
      <c r="M84" s="317">
        <f t="shared" ref="M84:M89" si="16">L15</f>
        <v>159.61973086509079</v>
      </c>
      <c r="N84" s="283">
        <f t="shared" si="13"/>
        <v>895.4250925021779</v>
      </c>
    </row>
    <row r="85" spans="1:18">
      <c r="A85" s="110" t="s">
        <v>215</v>
      </c>
      <c r="B85" s="306"/>
      <c r="C85" s="317">
        <f t="shared" si="14"/>
        <v>1056.8783932396871</v>
      </c>
      <c r="D85" s="283">
        <f t="shared" si="11"/>
        <v>4529.5738522014472</v>
      </c>
      <c r="F85" s="110" t="s">
        <v>215</v>
      </c>
      <c r="G85" s="306"/>
      <c r="H85" s="317">
        <f t="shared" si="15"/>
        <v>1056.8783932396871</v>
      </c>
      <c r="I85" s="283">
        <f t="shared" si="12"/>
        <v>8049.6370502891241</v>
      </c>
      <c r="K85" s="110" t="s">
        <v>215</v>
      </c>
      <c r="L85" s="306"/>
      <c r="M85" s="317">
        <f t="shared" si="16"/>
        <v>1056.8783932396871</v>
      </c>
      <c r="N85" s="283">
        <f t="shared" si="13"/>
        <v>5928.8123586052861</v>
      </c>
    </row>
    <row r="86" spans="1:18">
      <c r="A86" s="110" t="s">
        <v>216</v>
      </c>
      <c r="B86" s="306"/>
      <c r="C86" s="317">
        <f t="shared" si="14"/>
        <v>659.46971027355744</v>
      </c>
      <c r="D86" s="283">
        <f t="shared" si="11"/>
        <v>2826.3580512961898</v>
      </c>
      <c r="F86" s="110" t="s">
        <v>216</v>
      </c>
      <c r="G86" s="306"/>
      <c r="H86" s="317">
        <f t="shared" si="15"/>
        <v>659.46971027355744</v>
      </c>
      <c r="I86" s="283">
        <f t="shared" si="12"/>
        <v>5022.8028572796848</v>
      </c>
      <c r="K86" s="110" t="s">
        <v>216</v>
      </c>
      <c r="L86" s="306"/>
      <c r="M86" s="317">
        <f t="shared" si="16"/>
        <v>659.46971027355744</v>
      </c>
      <c r="N86" s="283">
        <f t="shared" si="13"/>
        <v>3699.4532137331753</v>
      </c>
    </row>
    <row r="87" spans="1:18">
      <c r="A87" s="110" t="s">
        <v>217</v>
      </c>
      <c r="B87" s="306"/>
      <c r="C87" s="317">
        <f t="shared" si="14"/>
        <v>474.11060420697481</v>
      </c>
      <c r="D87" s="283">
        <f t="shared" si="11"/>
        <v>2031.945216785515</v>
      </c>
      <c r="F87" s="110" t="s">
        <v>217</v>
      </c>
      <c r="G87" s="306"/>
      <c r="H87" s="317">
        <f t="shared" si="15"/>
        <v>474.11060420697481</v>
      </c>
      <c r="I87" s="283">
        <f t="shared" si="12"/>
        <v>3611.0287711160636</v>
      </c>
      <c r="K87" s="110" t="s">
        <v>217</v>
      </c>
      <c r="L87" s="306"/>
      <c r="M87" s="317">
        <f t="shared" si="16"/>
        <v>474.11060420697481</v>
      </c>
      <c r="N87" s="283">
        <f t="shared" si="13"/>
        <v>2659.6369341526042</v>
      </c>
    </row>
    <row r="88" spans="1:18">
      <c r="A88" s="110" t="s">
        <v>221</v>
      </c>
      <c r="B88" s="306"/>
      <c r="C88" s="317">
        <f t="shared" si="14"/>
        <v>1733.9343036087084</v>
      </c>
      <c r="D88" s="283">
        <f t="shared" si="11"/>
        <v>7431.3029136550285</v>
      </c>
      <c r="F88" s="110" t="s">
        <v>221</v>
      </c>
      <c r="G88" s="306"/>
      <c r="H88" s="317">
        <f t="shared" si="15"/>
        <v>1733.9343036087084</v>
      </c>
      <c r="I88" s="283">
        <f t="shared" si="12"/>
        <v>13206.383915477143</v>
      </c>
      <c r="K88" s="110" t="s">
        <v>221</v>
      </c>
      <c r="L88" s="306"/>
      <c r="M88" s="317">
        <f t="shared" si="16"/>
        <v>1733.9343036087084</v>
      </c>
      <c r="N88" s="283">
        <f t="shared" si="13"/>
        <v>9726.9195718277351</v>
      </c>
    </row>
    <row r="89" spans="1:18">
      <c r="A89" s="110" t="s">
        <v>225</v>
      </c>
      <c r="B89" s="306"/>
      <c r="C89" s="317">
        <f t="shared" si="14"/>
        <v>1347.3502436316674</v>
      </c>
      <c r="D89" s="283">
        <f t="shared" si="11"/>
        <v>5774.4793273744053</v>
      </c>
      <c r="F89" s="110" t="s">
        <v>225</v>
      </c>
      <c r="G89" s="306"/>
      <c r="H89" s="317">
        <f t="shared" si="15"/>
        <v>1347.3502436316674</v>
      </c>
      <c r="I89" s="283">
        <f t="shared" si="12"/>
        <v>10261.994672450342</v>
      </c>
      <c r="K89" s="110" t="s">
        <v>225</v>
      </c>
      <c r="L89" s="306"/>
      <c r="M89" s="317">
        <f t="shared" si="16"/>
        <v>1347.3502436316674</v>
      </c>
      <c r="N89" s="283">
        <f t="shared" si="13"/>
        <v>7558.2837409768581</v>
      </c>
    </row>
    <row r="90" spans="1:18">
      <c r="A90" s="110"/>
      <c r="B90" s="306"/>
      <c r="C90" s="318"/>
      <c r="D90" s="329"/>
      <c r="F90" s="110"/>
      <c r="G90" s="306"/>
      <c r="H90" s="318"/>
      <c r="I90" s="329"/>
      <c r="K90" s="110"/>
      <c r="L90" s="306"/>
      <c r="M90" s="318"/>
      <c r="N90" s="329"/>
    </row>
    <row r="91" spans="1:18">
      <c r="A91" s="110" t="s">
        <v>337</v>
      </c>
      <c r="B91" s="335"/>
      <c r="C91" s="318"/>
      <c r="D91" s="283">
        <f>SUM(D83:D90)</f>
        <v>48838.163760756659</v>
      </c>
      <c r="F91" s="110" t="s">
        <v>337</v>
      </c>
      <c r="G91" s="335"/>
      <c r="H91" s="318"/>
      <c r="I91" s="283">
        <f>SUM(I83:I90)</f>
        <v>86791.717124913863</v>
      </c>
      <c r="K91" s="110" t="s">
        <v>337</v>
      </c>
      <c r="L91" s="335"/>
      <c r="M91" s="318"/>
      <c r="N91" s="283">
        <f>SUM(N83:N90)</f>
        <v>63924.845542729308</v>
      </c>
    </row>
    <row r="92" spans="1:18">
      <c r="A92" s="303" t="s">
        <v>338</v>
      </c>
      <c r="B92" s="304"/>
      <c r="C92" s="117"/>
      <c r="D92" s="332" t="e">
        <f>D91+D82</f>
        <v>#REF!</v>
      </c>
      <c r="F92" s="303" t="s">
        <v>338</v>
      </c>
      <c r="G92" s="304"/>
      <c r="H92" s="117"/>
      <c r="I92" s="332" t="e">
        <f>I82+I91</f>
        <v>#REF!</v>
      </c>
      <c r="K92" s="303" t="s">
        <v>338</v>
      </c>
      <c r="L92" s="304"/>
      <c r="M92" s="117"/>
      <c r="N92" s="332" t="e">
        <f>N82+N91</f>
        <v>#REF!</v>
      </c>
    </row>
    <row r="93" spans="1:18">
      <c r="A93" s="110" t="s">
        <v>432</v>
      </c>
      <c r="B93" s="335">
        <f>L13</f>
        <v>0.12</v>
      </c>
      <c r="C93" s="318"/>
      <c r="D93" s="283" t="e">
        <f>D92*B93</f>
        <v>#REF!</v>
      </c>
      <c r="F93" s="110" t="s">
        <v>432</v>
      </c>
      <c r="G93" s="335">
        <f>L13</f>
        <v>0.12</v>
      </c>
      <c r="H93" s="318"/>
      <c r="I93" s="283" t="e">
        <f>G93*I92</f>
        <v>#REF!</v>
      </c>
      <c r="K93" s="110" t="s">
        <v>432</v>
      </c>
      <c r="L93" s="335">
        <f>L13</f>
        <v>0.12</v>
      </c>
      <c r="M93" s="318"/>
      <c r="N93" s="283" t="e">
        <f>L93*N92</f>
        <v>#REF!</v>
      </c>
    </row>
    <row r="94" spans="1:18" ht="13.5" thickBot="1">
      <c r="A94" s="338" t="s">
        <v>342</v>
      </c>
      <c r="B94" s="339"/>
      <c r="C94" s="354"/>
      <c r="D94" s="341" t="e">
        <f>D93+D92</f>
        <v>#REF!</v>
      </c>
      <c r="F94" s="338" t="s">
        <v>342</v>
      </c>
      <c r="G94" s="339"/>
      <c r="H94" s="354"/>
      <c r="I94" s="341" t="e">
        <f>I93+I92</f>
        <v>#REF!</v>
      </c>
      <c r="K94" s="338" t="s">
        <v>342</v>
      </c>
      <c r="L94" s="339"/>
      <c r="M94" s="354"/>
      <c r="N94" s="341" t="e">
        <f>N93+N92</f>
        <v>#REF!</v>
      </c>
      <c r="R94" s="333"/>
    </row>
    <row r="95" spans="1:18" ht="13.5" thickTop="1">
      <c r="A95" s="110" t="s">
        <v>343</v>
      </c>
      <c r="D95" s="73">
        <v>10</v>
      </c>
      <c r="F95" s="110" t="s">
        <v>343</v>
      </c>
      <c r="I95" s="73">
        <v>10</v>
      </c>
      <c r="K95" s="110" t="s">
        <v>343</v>
      </c>
      <c r="N95" s="73">
        <v>10</v>
      </c>
      <c r="P95" s="319"/>
      <c r="Q95" s="306"/>
      <c r="R95" s="333"/>
    </row>
    <row r="96" spans="1:18">
      <c r="A96" s="110" t="s">
        <v>344</v>
      </c>
      <c r="B96" s="333"/>
      <c r="C96" s="350"/>
      <c r="D96" s="342" t="e">
        <f>(D94/D95)/365</f>
        <v>#REF!</v>
      </c>
      <c r="E96" s="134"/>
      <c r="F96" s="110" t="s">
        <v>344</v>
      </c>
      <c r="G96" s="333"/>
      <c r="H96" s="350"/>
      <c r="I96" s="342" t="e">
        <f>I94/I95/365</f>
        <v>#REF!</v>
      </c>
      <c r="J96" s="134"/>
      <c r="K96" s="110" t="s">
        <v>344</v>
      </c>
      <c r="L96" s="333"/>
      <c r="M96" s="350"/>
      <c r="N96" s="342" t="e">
        <f>N94/N95/365</f>
        <v>#REF!</v>
      </c>
      <c r="O96" s="134"/>
      <c r="P96" s="358"/>
      <c r="Q96" s="333"/>
      <c r="R96" s="320"/>
    </row>
    <row r="97" spans="1:20" ht="13.5" thickBot="1">
      <c r="A97" s="343" t="str">
        <f>A65</f>
        <v>CAF (Jan 2022)</v>
      </c>
      <c r="B97" s="359" t="e">
        <f>B65</f>
        <v>#REF!</v>
      </c>
      <c r="C97" s="356"/>
      <c r="D97" s="346" t="e">
        <f>D96*(1+B97)</f>
        <v>#REF!</v>
      </c>
      <c r="E97" s="134" t="e">
        <f>(D97-D98)/D98</f>
        <v>#REF!</v>
      </c>
      <c r="F97" s="343" t="str">
        <f>F65</f>
        <v>CAF (Jan 2022)</v>
      </c>
      <c r="G97" s="359" t="e">
        <f>G65</f>
        <v>#REF!</v>
      </c>
      <c r="H97" s="356"/>
      <c r="I97" s="346" t="e">
        <f>I96*(1+G97)</f>
        <v>#REF!</v>
      </c>
      <c r="J97" s="134" t="e">
        <f>(I97-I98)/I98</f>
        <v>#REF!</v>
      </c>
      <c r="K97" s="343" t="str">
        <f>K65</f>
        <v>CAF (Jan 2022)</v>
      </c>
      <c r="L97" s="359" t="e">
        <f>L65</f>
        <v>#REF!</v>
      </c>
      <c r="M97" s="356"/>
      <c r="N97" s="346" t="e">
        <f>N96*(1+L97)</f>
        <v>#REF!</v>
      </c>
      <c r="O97" s="134" t="e">
        <f>(N97-N98)/N98</f>
        <v>#REF!</v>
      </c>
      <c r="P97" s="360"/>
      <c r="Q97" s="333"/>
      <c r="R97" s="320"/>
    </row>
    <row r="98" spans="1:20">
      <c r="C98" s="27" t="s">
        <v>384</v>
      </c>
      <c r="D98" s="207">
        <v>105.21</v>
      </c>
      <c r="E98" s="134"/>
      <c r="H98" s="27" t="s">
        <v>384</v>
      </c>
      <c r="I98" s="207">
        <v>152.13999999999999</v>
      </c>
      <c r="J98" s="134"/>
      <c r="M98" s="27" t="s">
        <v>384</v>
      </c>
      <c r="N98" s="207">
        <v>126.5</v>
      </c>
      <c r="O98" s="134"/>
      <c r="P98" s="119"/>
      <c r="Q98" s="321"/>
      <c r="R98" s="320"/>
    </row>
    <row r="99" spans="1:20">
      <c r="C99" s="27" t="s">
        <v>385</v>
      </c>
      <c r="D99" s="207">
        <v>105.96</v>
      </c>
      <c r="E99" s="134">
        <f>(D99-D98)/D98</f>
        <v>7.1285999429712005E-3</v>
      </c>
      <c r="H99" s="27" t="s">
        <v>385</v>
      </c>
      <c r="I99" s="207">
        <v>177.18</v>
      </c>
      <c r="J99" s="134">
        <f>(I99-I98)/I99</f>
        <v>0.14132520600519258</v>
      </c>
      <c r="M99" s="27" t="s">
        <v>385</v>
      </c>
      <c r="N99" s="207">
        <v>131.21</v>
      </c>
      <c r="O99" s="134">
        <f>(N99-N98)/N98</f>
        <v>3.7233201581027733E-2</v>
      </c>
      <c r="P99" s="119"/>
      <c r="Q99" s="321"/>
      <c r="R99" s="320"/>
    </row>
    <row r="100" spans="1:20">
      <c r="J100" s="134"/>
      <c r="O100" s="134"/>
      <c r="P100" s="119"/>
      <c r="Q100" s="321"/>
      <c r="R100" s="333"/>
    </row>
    <row r="101" spans="1:20">
      <c r="P101" s="119"/>
      <c r="Q101" s="321"/>
      <c r="R101" s="333"/>
    </row>
    <row r="102" spans="1:20">
      <c r="P102" s="119"/>
      <c r="Q102" s="333"/>
      <c r="R102" s="333"/>
    </row>
    <row r="103" spans="1:20">
      <c r="D103" s="306"/>
      <c r="Q103" s="105"/>
      <c r="R103" s="333"/>
      <c r="S103" s="361"/>
    </row>
    <row r="104" spans="1:20">
      <c r="Q104" s="105"/>
      <c r="R104" s="333"/>
      <c r="S104" s="306"/>
    </row>
    <row r="105" spans="1:20">
      <c r="S105" s="306"/>
    </row>
    <row r="106" spans="1:20">
      <c r="O106" s="362"/>
      <c r="P106" s="121"/>
      <c r="Q106" s="319"/>
      <c r="R106" s="306"/>
      <c r="S106" s="306"/>
      <c r="T106" s="318"/>
    </row>
    <row r="107" spans="1:20">
      <c r="G107" s="121"/>
      <c r="H107" s="319"/>
      <c r="I107" s="306"/>
      <c r="O107" s="105"/>
      <c r="P107" s="105"/>
      <c r="Q107" s="213"/>
      <c r="R107" s="306"/>
      <c r="S107" s="306"/>
      <c r="T107" s="318"/>
    </row>
    <row r="108" spans="1:20">
      <c r="F108" s="105"/>
      <c r="G108" s="105"/>
      <c r="H108" s="358"/>
      <c r="I108" s="333"/>
      <c r="J108" s="306"/>
      <c r="N108" s="105"/>
      <c r="O108" s="105"/>
      <c r="P108" s="105"/>
      <c r="Q108" s="319"/>
      <c r="R108" s="306"/>
      <c r="S108" s="306"/>
      <c r="T108" s="318"/>
    </row>
    <row r="109" spans="1:20">
      <c r="C109" s="322"/>
      <c r="D109" s="363"/>
      <c r="F109" s="105"/>
      <c r="G109" s="105"/>
      <c r="H109" s="360"/>
      <c r="I109" s="333"/>
      <c r="J109" s="306"/>
      <c r="N109" s="105"/>
      <c r="O109" s="306"/>
      <c r="P109" s="306"/>
      <c r="Q109" s="319"/>
      <c r="R109" s="306"/>
      <c r="S109" s="333"/>
      <c r="T109" s="318"/>
    </row>
    <row r="110" spans="1:20">
      <c r="F110" s="306"/>
      <c r="G110" s="306"/>
      <c r="H110" s="119"/>
      <c r="I110" s="321"/>
      <c r="J110" s="333"/>
      <c r="N110" s="306"/>
      <c r="O110" s="306"/>
      <c r="P110" s="306"/>
      <c r="Q110" s="319"/>
      <c r="R110" s="306"/>
      <c r="S110" s="333"/>
      <c r="T110" s="350"/>
    </row>
    <row r="111" spans="1:20">
      <c r="F111" s="306"/>
      <c r="G111" s="306"/>
      <c r="H111" s="119"/>
      <c r="I111" s="321"/>
      <c r="J111" s="306"/>
      <c r="N111" s="306"/>
      <c r="O111" s="323"/>
      <c r="P111" s="323"/>
      <c r="Q111" s="358"/>
      <c r="R111" s="333"/>
      <c r="T111" s="350"/>
    </row>
    <row r="112" spans="1:20">
      <c r="F112" s="323"/>
      <c r="G112" s="323"/>
      <c r="H112" s="119"/>
      <c r="I112" s="321"/>
      <c r="J112" s="306"/>
      <c r="N112" s="323"/>
      <c r="O112" s="323"/>
      <c r="P112" s="323"/>
      <c r="Q112" s="360"/>
      <c r="R112" s="333"/>
      <c r="S112" s="333"/>
    </row>
    <row r="113" spans="6:20">
      <c r="F113" s="323"/>
      <c r="G113" s="323"/>
      <c r="H113" s="119"/>
      <c r="I113" s="321"/>
      <c r="J113" s="306"/>
      <c r="N113" s="323"/>
      <c r="O113" s="105"/>
      <c r="P113" s="105"/>
      <c r="S113" s="333"/>
      <c r="T113" s="350"/>
    </row>
    <row r="114" spans="6:20">
      <c r="F114" s="105"/>
      <c r="G114" s="105"/>
      <c r="H114" s="119"/>
      <c r="I114" s="333"/>
      <c r="J114" s="306"/>
      <c r="N114" s="105"/>
      <c r="O114" s="105"/>
      <c r="P114" s="105"/>
      <c r="Q114" s="105"/>
      <c r="R114" s="333"/>
      <c r="T114" s="350"/>
    </row>
    <row r="115" spans="6:20">
      <c r="F115" s="105"/>
      <c r="G115" s="105"/>
      <c r="H115" s="105"/>
      <c r="I115" s="333"/>
      <c r="J115" s="333"/>
      <c r="N115" s="105"/>
      <c r="O115" s="105"/>
      <c r="P115" s="105"/>
      <c r="Q115" s="364"/>
      <c r="R115" s="333"/>
    </row>
    <row r="116" spans="6:20">
      <c r="F116" s="105"/>
      <c r="G116" s="105"/>
      <c r="H116" s="105"/>
      <c r="I116" s="333"/>
      <c r="J116" s="333"/>
      <c r="N116" s="105"/>
      <c r="O116" s="365"/>
      <c r="P116" s="361"/>
    </row>
    <row r="117" spans="6:20">
      <c r="G117" s="361"/>
      <c r="J117" s="333"/>
    </row>
    <row r="118" spans="6:20">
      <c r="H118" s="319"/>
      <c r="I118" s="306"/>
      <c r="J118" s="306"/>
    </row>
    <row r="119" spans="6:20">
      <c r="H119" s="213"/>
      <c r="I119" s="306"/>
      <c r="J119" s="333"/>
      <c r="O119" s="122"/>
    </row>
    <row r="120" spans="6:20">
      <c r="H120" s="319"/>
      <c r="I120" s="306"/>
      <c r="J120" s="333"/>
      <c r="O120" s="122"/>
      <c r="S120" s="111"/>
    </row>
    <row r="121" spans="6:20">
      <c r="H121" s="319"/>
      <c r="I121" s="306"/>
      <c r="J121" s="306"/>
      <c r="O121" s="362"/>
      <c r="P121" s="121"/>
    </row>
    <row r="122" spans="6:20" ht="25.5" customHeight="1">
      <c r="G122" s="121"/>
      <c r="H122" s="319"/>
      <c r="I122" s="306"/>
      <c r="J122" s="333"/>
      <c r="O122" s="105"/>
      <c r="P122" s="105"/>
    </row>
    <row r="123" spans="6:20">
      <c r="F123" s="105"/>
      <c r="G123" s="105"/>
      <c r="H123" s="358"/>
      <c r="I123" s="333"/>
      <c r="J123" s="306"/>
      <c r="N123" s="105"/>
      <c r="O123" s="105"/>
      <c r="P123" s="105"/>
      <c r="S123" s="105"/>
    </row>
    <row r="124" spans="6:20">
      <c r="F124" s="105"/>
      <c r="G124" s="105"/>
      <c r="H124" s="360"/>
      <c r="I124" s="333"/>
      <c r="J124" s="306"/>
      <c r="N124" s="105"/>
      <c r="S124" s="320"/>
      <c r="T124" s="351"/>
    </row>
    <row r="125" spans="6:20">
      <c r="J125" s="333"/>
      <c r="Q125" s="366"/>
      <c r="R125" s="333"/>
      <c r="S125" s="320"/>
      <c r="T125" s="367"/>
    </row>
    <row r="126" spans="6:20">
      <c r="H126" s="105"/>
      <c r="I126" s="333"/>
      <c r="J126" s="318"/>
      <c r="O126" s="105"/>
      <c r="P126" s="105"/>
      <c r="Q126" s="119"/>
      <c r="R126" s="321"/>
      <c r="S126" s="320"/>
      <c r="T126" s="367"/>
    </row>
    <row r="127" spans="6:20">
      <c r="F127" s="105"/>
      <c r="G127" s="105"/>
      <c r="H127" s="364"/>
      <c r="I127" s="333"/>
      <c r="J127" s="306"/>
      <c r="N127" s="105"/>
      <c r="Q127" s="119"/>
      <c r="R127" s="321"/>
      <c r="S127" s="324"/>
      <c r="T127" s="367"/>
    </row>
    <row r="128" spans="6:20">
      <c r="J128" s="368"/>
      <c r="Q128" s="119"/>
      <c r="R128" s="321"/>
      <c r="S128" s="320"/>
      <c r="T128" s="367"/>
    </row>
    <row r="129" spans="3:20">
      <c r="N129" s="105"/>
      <c r="Q129" s="119"/>
      <c r="R129" s="321"/>
      <c r="S129" s="333"/>
      <c r="T129" s="367"/>
    </row>
    <row r="130" spans="3:20">
      <c r="Q130" s="119"/>
      <c r="R130" s="321"/>
      <c r="S130" s="333"/>
      <c r="T130" s="350"/>
    </row>
    <row r="131" spans="3:20">
      <c r="Q131" s="119"/>
      <c r="R131" s="333"/>
      <c r="S131" s="333"/>
      <c r="T131" s="350"/>
    </row>
    <row r="132" spans="3:20">
      <c r="Q132" s="105"/>
      <c r="R132" s="333"/>
      <c r="S132" s="361"/>
      <c r="T132" s="351"/>
    </row>
    <row r="133" spans="3:20">
      <c r="Q133" s="105"/>
      <c r="R133" s="333"/>
      <c r="S133" s="306"/>
      <c r="T133" s="353"/>
    </row>
    <row r="134" spans="3:20">
      <c r="S134" s="306"/>
      <c r="T134" s="318"/>
    </row>
    <row r="135" spans="3:20">
      <c r="Q135" s="319"/>
      <c r="R135" s="306"/>
      <c r="S135" s="306"/>
      <c r="T135" s="318"/>
    </row>
    <row r="136" spans="3:20">
      <c r="O136" s="105"/>
      <c r="P136" s="105"/>
      <c r="Q136" s="213"/>
      <c r="R136" s="306"/>
      <c r="S136" s="306"/>
      <c r="T136" s="318"/>
    </row>
    <row r="137" spans="3:20">
      <c r="C137" s="322"/>
      <c r="D137" s="363"/>
      <c r="G137" s="105"/>
      <c r="H137" s="366"/>
      <c r="I137" s="333"/>
      <c r="O137" s="306"/>
      <c r="P137" s="306"/>
      <c r="Q137" s="319"/>
      <c r="R137" s="306"/>
      <c r="S137" s="306"/>
      <c r="T137" s="318"/>
    </row>
    <row r="138" spans="3:20">
      <c r="G138" s="306"/>
      <c r="H138" s="119"/>
      <c r="I138" s="321"/>
      <c r="J138" s="333"/>
      <c r="O138" s="306"/>
      <c r="P138" s="306"/>
      <c r="Q138" s="319"/>
      <c r="R138" s="306"/>
      <c r="S138" s="333"/>
      <c r="T138" s="318"/>
    </row>
    <row r="139" spans="3:20">
      <c r="F139" s="306"/>
      <c r="G139" s="306"/>
      <c r="H139" s="119"/>
      <c r="I139" s="321"/>
      <c r="J139" s="306"/>
      <c r="N139" s="306"/>
      <c r="O139" s="306"/>
      <c r="P139" s="306"/>
      <c r="Q139" s="319"/>
      <c r="R139" s="306"/>
      <c r="S139" s="333"/>
      <c r="T139" s="350"/>
    </row>
    <row r="140" spans="3:20">
      <c r="F140" s="323"/>
      <c r="G140" s="323"/>
      <c r="H140" s="119"/>
      <c r="I140" s="321"/>
      <c r="J140" s="306"/>
      <c r="N140" s="306"/>
      <c r="O140" s="323"/>
      <c r="P140" s="323"/>
      <c r="Q140" s="358"/>
      <c r="R140" s="333"/>
      <c r="T140" s="350"/>
    </row>
    <row r="141" spans="3:20">
      <c r="F141" s="323"/>
      <c r="G141" s="323"/>
      <c r="H141" s="119"/>
      <c r="I141" s="321"/>
      <c r="J141" s="306"/>
      <c r="N141" s="323"/>
      <c r="O141" s="323"/>
      <c r="P141" s="323"/>
      <c r="Q141" s="360"/>
      <c r="R141" s="333"/>
      <c r="S141" s="333"/>
    </row>
    <row r="142" spans="3:20">
      <c r="F142" s="105"/>
      <c r="G142" s="105"/>
      <c r="H142" s="119"/>
      <c r="I142" s="333"/>
      <c r="J142" s="306"/>
      <c r="N142" s="323"/>
      <c r="O142" s="105"/>
      <c r="P142" s="105"/>
      <c r="S142" s="333"/>
      <c r="T142" s="350"/>
    </row>
    <row r="143" spans="3:20">
      <c r="F143" s="105"/>
      <c r="G143" s="105"/>
      <c r="H143" s="105"/>
      <c r="I143" s="333"/>
      <c r="J143" s="333"/>
      <c r="N143" s="105"/>
      <c r="O143" s="105"/>
      <c r="P143" s="105"/>
      <c r="Q143" s="105"/>
      <c r="R143" s="333"/>
      <c r="T143" s="350"/>
    </row>
    <row r="144" spans="3:20">
      <c r="F144" s="105"/>
      <c r="G144" s="105"/>
      <c r="H144" s="105"/>
      <c r="I144" s="333"/>
      <c r="J144" s="333"/>
      <c r="N144" s="105"/>
      <c r="O144" s="105"/>
      <c r="P144" s="105"/>
      <c r="Q144" s="364"/>
      <c r="R144" s="333"/>
    </row>
    <row r="145" spans="6:20">
      <c r="G145" s="361"/>
      <c r="J145" s="333"/>
      <c r="N145" s="105"/>
      <c r="O145" s="365"/>
      <c r="P145" s="361"/>
    </row>
    <row r="146" spans="6:20">
      <c r="H146" s="319"/>
      <c r="I146" s="306"/>
      <c r="J146" s="306"/>
      <c r="S146" s="333"/>
    </row>
    <row r="147" spans="6:20">
      <c r="H147" s="213"/>
      <c r="I147" s="306"/>
      <c r="J147" s="333"/>
      <c r="S147" s="361"/>
      <c r="T147" s="351"/>
    </row>
    <row r="148" spans="6:20">
      <c r="H148" s="319"/>
      <c r="I148" s="306"/>
      <c r="J148" s="333"/>
      <c r="O148" s="122"/>
      <c r="Q148" s="105"/>
      <c r="R148" s="333"/>
      <c r="S148" s="306"/>
      <c r="T148" s="353"/>
    </row>
    <row r="149" spans="6:20">
      <c r="H149" s="319"/>
      <c r="I149" s="306"/>
      <c r="J149" s="306"/>
      <c r="O149" s="122"/>
      <c r="S149" s="320"/>
      <c r="T149" s="318"/>
    </row>
    <row r="150" spans="6:20">
      <c r="G150" s="121"/>
      <c r="H150" s="319"/>
      <c r="I150" s="306"/>
      <c r="J150" s="333"/>
      <c r="O150" s="362"/>
      <c r="P150" s="121"/>
      <c r="Q150" s="319"/>
      <c r="R150" s="306"/>
      <c r="S150" s="333"/>
      <c r="T150" s="367"/>
    </row>
    <row r="151" spans="6:20">
      <c r="F151" s="105"/>
      <c r="G151" s="105"/>
      <c r="H151" s="358"/>
      <c r="I151" s="333"/>
      <c r="J151" s="306"/>
      <c r="O151" s="105"/>
      <c r="P151" s="105"/>
      <c r="Q151" s="119"/>
      <c r="R151" s="321"/>
      <c r="S151" s="361"/>
      <c r="T151" s="367"/>
    </row>
    <row r="152" spans="6:20">
      <c r="F152" s="105"/>
      <c r="G152" s="105"/>
      <c r="H152" s="360"/>
      <c r="I152" s="333"/>
      <c r="J152" s="306"/>
      <c r="N152" s="105"/>
      <c r="O152" s="105"/>
      <c r="P152" s="105"/>
      <c r="Q152" s="119"/>
      <c r="R152" s="321"/>
      <c r="S152" s="306"/>
      <c r="T152" s="367"/>
    </row>
    <row r="153" spans="6:20">
      <c r="J153" s="333"/>
      <c r="N153" s="105"/>
      <c r="Q153" s="119"/>
      <c r="R153" s="321"/>
      <c r="S153" s="333"/>
      <c r="T153" s="367"/>
    </row>
    <row r="154" spans="6:20">
      <c r="H154" s="105"/>
      <c r="I154" s="333"/>
      <c r="J154" s="318"/>
      <c r="Q154" s="119"/>
      <c r="R154" s="321"/>
      <c r="S154" s="333"/>
      <c r="T154" s="350"/>
    </row>
    <row r="155" spans="6:20">
      <c r="F155" s="105"/>
      <c r="G155" s="105"/>
      <c r="H155" s="364"/>
      <c r="I155" s="333"/>
      <c r="J155" s="306"/>
      <c r="O155" s="105"/>
      <c r="P155" s="105"/>
      <c r="Q155" s="119"/>
      <c r="R155" s="333"/>
      <c r="S155" s="333"/>
      <c r="T155" s="350"/>
    </row>
    <row r="156" spans="6:20">
      <c r="J156" s="368"/>
      <c r="N156" s="105"/>
      <c r="Q156" s="105"/>
      <c r="R156" s="333"/>
      <c r="S156" s="361"/>
      <c r="T156" s="351"/>
    </row>
    <row r="157" spans="6:20">
      <c r="Q157" s="105"/>
      <c r="R157" s="333"/>
      <c r="S157" s="306"/>
      <c r="T157" s="353"/>
    </row>
    <row r="158" spans="6:20">
      <c r="S158" s="306"/>
      <c r="T158" s="318"/>
    </row>
    <row r="159" spans="6:20">
      <c r="O159" s="105"/>
      <c r="P159" s="105"/>
      <c r="Q159" s="319"/>
      <c r="R159" s="306"/>
      <c r="S159" s="306"/>
      <c r="T159" s="318"/>
    </row>
    <row r="160" spans="6:20">
      <c r="N160" s="105"/>
      <c r="O160" s="365"/>
      <c r="P160" s="361"/>
      <c r="Q160" s="213"/>
      <c r="R160" s="306"/>
      <c r="S160" s="306"/>
      <c r="T160" s="318"/>
    </row>
    <row r="161" spans="3:20">
      <c r="F161" s="105"/>
      <c r="G161" s="105"/>
      <c r="H161" s="366"/>
      <c r="I161" s="333"/>
      <c r="Q161" s="319"/>
      <c r="R161" s="306"/>
      <c r="S161" s="306"/>
      <c r="T161" s="318"/>
    </row>
    <row r="162" spans="3:20">
      <c r="C162" s="322"/>
      <c r="D162" s="363"/>
      <c r="F162" s="105"/>
      <c r="G162" s="105"/>
      <c r="H162" s="366"/>
      <c r="I162" s="333"/>
      <c r="J162" s="333"/>
      <c r="O162" s="306"/>
      <c r="P162" s="306"/>
      <c r="Q162" s="319"/>
      <c r="R162" s="306"/>
      <c r="S162" s="333"/>
      <c r="T162" s="318"/>
    </row>
    <row r="163" spans="3:20">
      <c r="F163" s="306"/>
      <c r="G163" s="306"/>
      <c r="H163" s="119"/>
      <c r="I163" s="321"/>
      <c r="J163" s="333"/>
      <c r="N163" s="306"/>
      <c r="O163" s="306"/>
      <c r="P163" s="306"/>
      <c r="Q163" s="319"/>
      <c r="R163" s="306"/>
      <c r="S163" s="333"/>
      <c r="T163" s="350"/>
    </row>
    <row r="164" spans="3:20">
      <c r="F164" s="306"/>
      <c r="G164" s="306"/>
      <c r="H164" s="119"/>
      <c r="I164" s="321"/>
      <c r="J164" s="306"/>
      <c r="N164" s="306"/>
      <c r="O164" s="323"/>
      <c r="P164" s="323"/>
      <c r="Q164" s="358"/>
      <c r="R164" s="333"/>
      <c r="T164" s="350"/>
    </row>
    <row r="165" spans="3:20">
      <c r="F165" s="323"/>
      <c r="G165" s="323"/>
      <c r="H165" s="119"/>
      <c r="I165" s="321"/>
      <c r="J165" s="306"/>
      <c r="N165" s="323"/>
      <c r="O165" s="323"/>
      <c r="P165" s="323"/>
      <c r="Q165" s="360"/>
      <c r="R165" s="333"/>
      <c r="S165" s="333"/>
    </row>
    <row r="166" spans="3:20">
      <c r="F166" s="323"/>
      <c r="G166" s="323"/>
      <c r="H166" s="119"/>
      <c r="I166" s="321"/>
      <c r="J166" s="306"/>
      <c r="N166" s="323"/>
      <c r="O166" s="105"/>
      <c r="P166" s="105"/>
      <c r="S166" s="333"/>
      <c r="T166" s="350"/>
    </row>
    <row r="167" spans="3:20">
      <c r="F167" s="105"/>
      <c r="G167" s="105"/>
      <c r="H167" s="119"/>
      <c r="I167" s="333"/>
      <c r="J167" s="306"/>
      <c r="N167" s="105"/>
      <c r="O167" s="105"/>
      <c r="P167" s="105"/>
      <c r="Q167" s="105"/>
      <c r="R167" s="333"/>
      <c r="T167" s="350"/>
    </row>
    <row r="168" spans="3:20">
      <c r="F168" s="105"/>
      <c r="G168" s="105"/>
      <c r="H168" s="105"/>
      <c r="I168" s="333"/>
      <c r="J168" s="333"/>
      <c r="N168" s="105"/>
      <c r="O168" s="105"/>
      <c r="P168" s="105"/>
      <c r="Q168" s="364"/>
      <c r="R168" s="333"/>
    </row>
    <row r="169" spans="3:20">
      <c r="F169" s="105"/>
      <c r="G169" s="105"/>
      <c r="H169" s="105"/>
      <c r="I169" s="333"/>
      <c r="J169" s="333"/>
      <c r="N169" s="105"/>
      <c r="O169" s="365"/>
      <c r="P169" s="361"/>
    </row>
    <row r="170" spans="3:20">
      <c r="G170" s="361"/>
      <c r="J170" s="333"/>
    </row>
    <row r="171" spans="3:20">
      <c r="H171" s="319"/>
      <c r="I171" s="306"/>
      <c r="J171" s="306"/>
      <c r="S171" s="306"/>
    </row>
    <row r="172" spans="3:20">
      <c r="H172" s="213"/>
      <c r="I172" s="306"/>
      <c r="J172" s="333"/>
      <c r="O172" s="122"/>
      <c r="S172" s="306"/>
      <c r="T172" s="318"/>
    </row>
    <row r="173" spans="3:20">
      <c r="H173" s="319"/>
      <c r="I173" s="306"/>
      <c r="J173" s="333"/>
      <c r="O173" s="122"/>
      <c r="Q173" s="213"/>
      <c r="R173" s="306"/>
      <c r="S173" s="306"/>
      <c r="T173" s="318"/>
    </row>
    <row r="174" spans="3:20">
      <c r="H174" s="319"/>
      <c r="I174" s="306"/>
      <c r="J174" s="306"/>
      <c r="O174" s="362"/>
      <c r="P174" s="121"/>
      <c r="Q174" s="319"/>
      <c r="R174" s="306"/>
      <c r="S174" s="320"/>
      <c r="T174" s="318"/>
    </row>
    <row r="175" spans="3:20">
      <c r="G175" s="121"/>
      <c r="H175" s="319"/>
      <c r="I175" s="306"/>
      <c r="J175" s="333"/>
      <c r="O175" s="105"/>
      <c r="P175" s="105"/>
      <c r="Q175" s="319"/>
      <c r="R175" s="306"/>
      <c r="S175" s="333"/>
      <c r="T175" s="367"/>
    </row>
    <row r="176" spans="3:20">
      <c r="F176" s="105"/>
      <c r="G176" s="105"/>
      <c r="H176" s="358"/>
      <c r="I176" s="333"/>
      <c r="J176" s="306"/>
      <c r="N176" s="105"/>
      <c r="O176" s="105"/>
      <c r="P176" s="105"/>
      <c r="Q176" s="119"/>
      <c r="R176" s="321"/>
      <c r="S176" s="333"/>
      <c r="T176" s="367"/>
    </row>
    <row r="177" spans="6:20">
      <c r="F177" s="105"/>
      <c r="G177" s="105"/>
      <c r="H177" s="360"/>
      <c r="I177" s="333"/>
      <c r="J177" s="306"/>
      <c r="N177" s="105"/>
      <c r="Q177" s="119"/>
      <c r="R177" s="321"/>
      <c r="S177" s="361"/>
      <c r="T177" s="367"/>
    </row>
    <row r="178" spans="6:20">
      <c r="J178" s="333"/>
      <c r="Q178" s="119"/>
      <c r="R178" s="321"/>
      <c r="S178" s="333"/>
      <c r="T178" s="367"/>
    </row>
    <row r="179" spans="6:20">
      <c r="H179" s="105"/>
      <c r="I179" s="333"/>
      <c r="J179" s="318"/>
      <c r="O179" s="105"/>
      <c r="P179" s="105"/>
      <c r="Q179" s="119"/>
      <c r="R179" s="321"/>
      <c r="S179" s="333"/>
      <c r="T179" s="350"/>
    </row>
    <row r="180" spans="6:20">
      <c r="F180" s="105"/>
      <c r="G180" s="105"/>
      <c r="H180" s="364"/>
      <c r="I180" s="333"/>
      <c r="J180" s="306"/>
      <c r="N180" s="105"/>
      <c r="Q180" s="119"/>
      <c r="R180" s="333"/>
      <c r="S180" s="333"/>
      <c r="T180" s="350"/>
    </row>
    <row r="181" spans="6:20">
      <c r="J181" s="368"/>
      <c r="Q181" s="105"/>
      <c r="R181" s="333"/>
      <c r="S181" s="361"/>
      <c r="T181" s="351"/>
    </row>
    <row r="182" spans="6:20">
      <c r="Q182" s="105"/>
      <c r="R182" s="333"/>
      <c r="S182" s="306"/>
      <c r="T182" s="353"/>
    </row>
    <row r="183" spans="6:20">
      <c r="S183" s="306"/>
      <c r="T183" s="318"/>
    </row>
    <row r="184" spans="6:20">
      <c r="Q184" s="319"/>
      <c r="R184" s="306"/>
      <c r="S184" s="306"/>
      <c r="T184" s="318"/>
    </row>
    <row r="185" spans="6:20">
      <c r="O185" s="122"/>
      <c r="Q185" s="213"/>
      <c r="R185" s="306"/>
      <c r="S185" s="306"/>
      <c r="T185" s="318"/>
    </row>
    <row r="186" spans="6:20">
      <c r="O186" s="122"/>
      <c r="Q186" s="319"/>
      <c r="R186" s="306"/>
      <c r="S186" s="306"/>
      <c r="T186" s="318"/>
    </row>
    <row r="187" spans="6:20">
      <c r="F187" s="105"/>
      <c r="G187" s="105"/>
      <c r="H187" s="366"/>
      <c r="I187" s="333"/>
      <c r="O187" s="306"/>
      <c r="P187" s="306"/>
      <c r="Q187" s="319"/>
      <c r="R187" s="306"/>
      <c r="S187" s="333"/>
      <c r="T187" s="318"/>
    </row>
    <row r="188" spans="6:20">
      <c r="F188" s="306"/>
      <c r="G188" s="306"/>
      <c r="H188" s="119"/>
      <c r="I188" s="321"/>
      <c r="J188" s="333"/>
      <c r="N188" s="306"/>
      <c r="O188" s="306"/>
      <c r="P188" s="306"/>
      <c r="Q188" s="319"/>
      <c r="R188" s="306"/>
      <c r="S188" s="333"/>
      <c r="T188" s="350"/>
    </row>
    <row r="189" spans="6:20">
      <c r="F189" s="306"/>
      <c r="G189" s="306"/>
      <c r="H189" s="119"/>
      <c r="I189" s="321"/>
      <c r="J189" s="306"/>
      <c r="N189" s="306"/>
      <c r="O189" s="323"/>
      <c r="P189" s="323"/>
      <c r="Q189" s="358"/>
      <c r="R189" s="333"/>
      <c r="T189" s="350"/>
    </row>
    <row r="190" spans="6:20">
      <c r="F190" s="323"/>
      <c r="G190" s="323"/>
      <c r="H190" s="119"/>
      <c r="I190" s="321"/>
      <c r="J190" s="306"/>
      <c r="N190" s="323"/>
      <c r="O190" s="323"/>
      <c r="P190" s="323"/>
      <c r="Q190" s="360"/>
      <c r="R190" s="333"/>
      <c r="S190" s="333"/>
    </row>
    <row r="191" spans="6:20">
      <c r="F191" s="323"/>
      <c r="G191" s="323"/>
      <c r="H191" s="119"/>
      <c r="I191" s="321"/>
      <c r="J191" s="306"/>
      <c r="N191" s="323"/>
      <c r="O191" s="105"/>
      <c r="P191" s="105"/>
      <c r="S191" s="333"/>
      <c r="T191" s="350"/>
    </row>
    <row r="192" spans="6:20">
      <c r="F192" s="105"/>
      <c r="G192" s="105"/>
      <c r="H192" s="119"/>
      <c r="I192" s="333"/>
      <c r="J192" s="306"/>
      <c r="N192" s="105"/>
      <c r="O192" s="105"/>
      <c r="P192" s="105"/>
      <c r="Q192" s="105"/>
      <c r="R192" s="333"/>
      <c r="T192" s="350"/>
    </row>
    <row r="193" spans="6:20">
      <c r="F193" s="105"/>
      <c r="G193" s="105"/>
      <c r="H193" s="105"/>
      <c r="I193" s="333"/>
      <c r="J193" s="333"/>
      <c r="N193" s="105"/>
      <c r="O193" s="105"/>
      <c r="P193" s="105"/>
      <c r="Q193" s="364"/>
      <c r="R193" s="333"/>
    </row>
    <row r="194" spans="6:20">
      <c r="F194" s="105"/>
      <c r="G194" s="105"/>
      <c r="H194" s="105"/>
      <c r="I194" s="333"/>
      <c r="J194" s="333"/>
      <c r="N194" s="105"/>
      <c r="O194" s="365"/>
      <c r="P194" s="361"/>
      <c r="S194" s="306"/>
    </row>
    <row r="195" spans="6:20">
      <c r="G195" s="361"/>
      <c r="J195" s="333"/>
      <c r="S195" s="306"/>
      <c r="T195" s="318"/>
    </row>
    <row r="196" spans="6:20">
      <c r="H196" s="319"/>
      <c r="I196" s="306"/>
      <c r="J196" s="306"/>
      <c r="Q196" s="319"/>
      <c r="R196" s="306"/>
      <c r="S196" s="306"/>
      <c r="T196" s="318"/>
    </row>
    <row r="197" spans="6:20">
      <c r="H197" s="213"/>
      <c r="I197" s="306"/>
      <c r="J197" s="333"/>
      <c r="O197" s="122"/>
      <c r="Q197" s="319"/>
      <c r="R197" s="306"/>
      <c r="S197" s="320"/>
      <c r="T197" s="318"/>
    </row>
    <row r="198" spans="6:20">
      <c r="H198" s="319"/>
      <c r="I198" s="306"/>
      <c r="J198" s="333"/>
      <c r="O198" s="122"/>
      <c r="Q198" s="319"/>
      <c r="R198" s="306"/>
      <c r="S198" s="333"/>
      <c r="T198" s="367"/>
    </row>
    <row r="199" spans="6:20">
      <c r="H199" s="319"/>
      <c r="I199" s="306"/>
      <c r="J199" s="306"/>
      <c r="O199" s="362"/>
      <c r="P199" s="121"/>
      <c r="Q199" s="119"/>
      <c r="R199" s="321"/>
      <c r="S199" s="333"/>
      <c r="T199" s="367"/>
    </row>
    <row r="200" spans="6:20">
      <c r="G200" s="121"/>
      <c r="H200" s="319"/>
      <c r="I200" s="306"/>
      <c r="J200" s="333"/>
      <c r="O200" s="105"/>
      <c r="P200" s="105"/>
      <c r="Q200" s="119"/>
      <c r="R200" s="321"/>
      <c r="S200" s="361"/>
      <c r="T200" s="367"/>
    </row>
    <row r="201" spans="6:20">
      <c r="F201" s="105"/>
      <c r="G201" s="105"/>
      <c r="H201" s="358"/>
      <c r="I201" s="333"/>
      <c r="J201" s="306"/>
      <c r="N201" s="105"/>
      <c r="O201" s="105"/>
      <c r="P201" s="105"/>
      <c r="Q201" s="119"/>
      <c r="R201" s="321"/>
      <c r="S201" s="333"/>
      <c r="T201" s="367"/>
    </row>
    <row r="202" spans="6:20">
      <c r="F202" s="105"/>
      <c r="G202" s="105"/>
      <c r="H202" s="360"/>
      <c r="I202" s="333"/>
      <c r="J202" s="306"/>
      <c r="N202" s="105"/>
      <c r="Q202" s="119"/>
      <c r="R202" s="321"/>
      <c r="S202" s="333"/>
      <c r="T202" s="350"/>
    </row>
    <row r="203" spans="6:20">
      <c r="J203" s="333"/>
      <c r="Q203" s="119"/>
      <c r="R203" s="333"/>
      <c r="S203" s="333"/>
      <c r="T203" s="350"/>
    </row>
    <row r="204" spans="6:20">
      <c r="H204" s="105"/>
      <c r="I204" s="333"/>
      <c r="J204" s="318"/>
      <c r="O204" s="105"/>
      <c r="P204" s="105"/>
      <c r="Q204" s="105"/>
      <c r="R204" s="333"/>
      <c r="S204" s="361"/>
      <c r="T204" s="351"/>
    </row>
    <row r="205" spans="6:20">
      <c r="F205" s="105"/>
      <c r="G205" s="105"/>
      <c r="H205" s="364"/>
      <c r="I205" s="333"/>
      <c r="J205" s="306"/>
      <c r="N205" s="105"/>
      <c r="Q205" s="105"/>
      <c r="R205" s="333"/>
      <c r="S205" s="306"/>
      <c r="T205" s="353"/>
    </row>
    <row r="206" spans="6:20">
      <c r="J206" s="368"/>
      <c r="S206" s="306"/>
      <c r="T206" s="318"/>
    </row>
    <row r="207" spans="6:20">
      <c r="O207" s="122"/>
      <c r="Q207" s="319"/>
      <c r="R207" s="306"/>
      <c r="S207" s="306"/>
      <c r="T207" s="318"/>
    </row>
    <row r="208" spans="6:20">
      <c r="O208" s="122"/>
      <c r="Q208" s="213"/>
      <c r="R208" s="306"/>
      <c r="S208" s="306"/>
      <c r="T208" s="318"/>
    </row>
    <row r="209" spans="14:20">
      <c r="O209" s="362"/>
      <c r="P209" s="121"/>
      <c r="Q209" s="319"/>
      <c r="R209" s="306"/>
      <c r="S209" s="306"/>
      <c r="T209" s="318"/>
    </row>
    <row r="210" spans="14:20">
      <c r="O210" s="306"/>
      <c r="P210" s="306"/>
      <c r="Q210" s="319"/>
      <c r="R210" s="306"/>
      <c r="S210" s="333"/>
      <c r="T210" s="318"/>
    </row>
    <row r="211" spans="14:20">
      <c r="N211" s="306"/>
      <c r="O211" s="306"/>
      <c r="P211" s="306"/>
      <c r="Q211" s="319"/>
      <c r="R211" s="306"/>
      <c r="S211" s="333"/>
      <c r="T211" s="350"/>
    </row>
    <row r="212" spans="14:20">
      <c r="N212" s="306"/>
      <c r="O212" s="323"/>
      <c r="P212" s="323"/>
      <c r="Q212" s="358"/>
      <c r="R212" s="333"/>
      <c r="T212" s="350"/>
    </row>
    <row r="213" spans="14:20">
      <c r="N213" s="323"/>
      <c r="O213" s="323"/>
      <c r="P213" s="323"/>
      <c r="Q213" s="360"/>
      <c r="R213" s="333"/>
      <c r="S213" s="333"/>
    </row>
    <row r="214" spans="14:20">
      <c r="N214" s="323"/>
      <c r="O214" s="105"/>
      <c r="P214" s="105"/>
      <c r="S214" s="333"/>
      <c r="T214" s="350"/>
    </row>
    <row r="215" spans="14:20">
      <c r="N215" s="105"/>
      <c r="O215" s="105"/>
      <c r="P215" s="105"/>
      <c r="Q215" s="105"/>
      <c r="R215" s="333"/>
      <c r="T215" s="350"/>
    </row>
    <row r="216" spans="14:20">
      <c r="N216" s="105"/>
      <c r="O216" s="105"/>
      <c r="P216" s="105"/>
      <c r="Q216" s="364"/>
      <c r="R216" s="333"/>
      <c r="S216" s="306"/>
    </row>
    <row r="217" spans="14:20">
      <c r="N217" s="105"/>
      <c r="O217" s="365"/>
      <c r="P217" s="361"/>
      <c r="S217" s="306"/>
      <c r="T217" s="318"/>
    </row>
    <row r="218" spans="14:20">
      <c r="Q218" s="319"/>
      <c r="R218" s="306"/>
      <c r="S218" s="333"/>
      <c r="T218" s="318"/>
    </row>
    <row r="219" spans="14:20">
      <c r="Q219" s="319"/>
      <c r="R219" s="306"/>
      <c r="S219" s="320"/>
      <c r="T219" s="350"/>
    </row>
    <row r="220" spans="14:20">
      <c r="O220" s="122"/>
      <c r="Q220" s="358"/>
      <c r="R220" s="333"/>
      <c r="T220" s="367"/>
    </row>
    <row r="221" spans="14:20">
      <c r="O221" s="122"/>
      <c r="Q221" s="119"/>
      <c r="R221" s="321"/>
      <c r="S221" s="306"/>
      <c r="T221" s="367"/>
    </row>
    <row r="222" spans="14:20">
      <c r="O222" s="362"/>
      <c r="P222" s="121"/>
      <c r="Q222" s="119"/>
      <c r="R222" s="321"/>
      <c r="S222" s="306"/>
      <c r="T222" s="367"/>
    </row>
    <row r="223" spans="14:20">
      <c r="O223" s="105"/>
      <c r="P223" s="105"/>
      <c r="Q223" s="119"/>
      <c r="R223" s="321"/>
      <c r="S223" s="333"/>
      <c r="T223" s="367"/>
    </row>
    <row r="224" spans="14:20">
      <c r="N224" s="105"/>
      <c r="O224" s="105"/>
      <c r="P224" s="105"/>
      <c r="Q224" s="119"/>
      <c r="R224" s="321"/>
      <c r="S224" s="333"/>
      <c r="T224" s="350"/>
    </row>
    <row r="225" spans="14:20">
      <c r="N225" s="105"/>
      <c r="Q225" s="119"/>
      <c r="R225" s="333"/>
      <c r="S225" s="333"/>
      <c r="T225" s="350"/>
    </row>
    <row r="226" spans="14:20">
      <c r="Q226" s="105"/>
      <c r="R226" s="333"/>
      <c r="S226" s="361"/>
      <c r="T226" s="351"/>
    </row>
    <row r="227" spans="14:20">
      <c r="O227" s="105"/>
      <c r="P227" s="105"/>
      <c r="Q227" s="105"/>
      <c r="R227" s="333"/>
      <c r="S227" s="306"/>
      <c r="T227" s="353"/>
    </row>
    <row r="228" spans="14:20">
      <c r="N228" s="105"/>
      <c r="S228" s="306"/>
      <c r="T228" s="318"/>
    </row>
    <row r="229" spans="14:20">
      <c r="O229" s="122"/>
      <c r="Q229" s="319"/>
      <c r="R229" s="306"/>
      <c r="S229" s="306"/>
      <c r="T229" s="318"/>
    </row>
    <row r="230" spans="14:20">
      <c r="O230" s="362"/>
      <c r="P230" s="121"/>
      <c r="Q230" s="213"/>
      <c r="R230" s="306"/>
      <c r="S230" s="306"/>
      <c r="T230" s="318"/>
    </row>
    <row r="231" spans="14:20">
      <c r="O231" s="105"/>
      <c r="P231" s="105"/>
      <c r="Q231" s="319"/>
      <c r="R231" s="306"/>
      <c r="S231" s="306"/>
      <c r="T231" s="318"/>
    </row>
    <row r="232" spans="14:20">
      <c r="N232" s="105"/>
      <c r="O232" s="306"/>
      <c r="P232" s="306"/>
      <c r="Q232" s="319"/>
      <c r="R232" s="306"/>
      <c r="S232" s="333"/>
      <c r="T232" s="318"/>
    </row>
    <row r="233" spans="14:20">
      <c r="N233" s="306"/>
      <c r="O233" s="306"/>
      <c r="P233" s="306"/>
      <c r="Q233" s="319"/>
      <c r="R233" s="306"/>
      <c r="S233" s="333"/>
      <c r="T233" s="350"/>
    </row>
    <row r="234" spans="14:20">
      <c r="N234" s="306"/>
      <c r="O234" s="323"/>
      <c r="P234" s="323"/>
      <c r="Q234" s="358"/>
      <c r="R234" s="333"/>
      <c r="T234" s="350"/>
    </row>
    <row r="235" spans="14:20">
      <c r="N235" s="323"/>
      <c r="O235" s="323"/>
      <c r="P235" s="323"/>
      <c r="Q235" s="360"/>
      <c r="R235" s="333"/>
      <c r="S235" s="333"/>
    </row>
    <row r="236" spans="14:20">
      <c r="N236" s="323"/>
      <c r="O236" s="105"/>
      <c r="P236" s="105"/>
      <c r="S236" s="333"/>
      <c r="T236" s="350"/>
    </row>
    <row r="237" spans="14:20">
      <c r="N237" s="105"/>
      <c r="O237" s="105"/>
      <c r="P237" s="105"/>
      <c r="Q237" s="105"/>
      <c r="R237" s="333"/>
      <c r="T237" s="350"/>
    </row>
    <row r="238" spans="14:20">
      <c r="N238" s="105"/>
      <c r="O238" s="105"/>
      <c r="P238" s="105"/>
      <c r="Q238" s="364"/>
      <c r="R238" s="333"/>
      <c r="S238" s="306"/>
    </row>
    <row r="239" spans="14:20">
      <c r="N239" s="105"/>
      <c r="O239" s="365"/>
      <c r="P239" s="361"/>
      <c r="S239" s="306"/>
      <c r="T239" s="318"/>
    </row>
    <row r="240" spans="14:20">
      <c r="Q240" s="319"/>
      <c r="R240" s="306"/>
      <c r="S240" s="306"/>
      <c r="T240" s="318"/>
    </row>
    <row r="241" spans="14:20">
      <c r="Q241" s="213"/>
      <c r="R241" s="306"/>
      <c r="S241" s="320"/>
      <c r="T241" s="318"/>
    </row>
    <row r="242" spans="14:20">
      <c r="O242" s="122"/>
      <c r="Q242" s="319"/>
      <c r="R242" s="306"/>
      <c r="S242" s="306"/>
      <c r="T242" s="367"/>
    </row>
    <row r="243" spans="14:20">
      <c r="O243" s="122"/>
      <c r="Q243" s="119"/>
      <c r="R243" s="321"/>
      <c r="S243" s="306"/>
      <c r="T243" s="367"/>
    </row>
    <row r="244" spans="14:20">
      <c r="O244" s="362"/>
      <c r="P244" s="121"/>
      <c r="Q244" s="119"/>
      <c r="R244" s="321"/>
      <c r="S244" s="306"/>
      <c r="T244" s="367"/>
    </row>
    <row r="245" spans="14:20">
      <c r="O245" s="105"/>
      <c r="P245" s="105"/>
      <c r="Q245" s="119"/>
      <c r="R245" s="321"/>
      <c r="S245" s="333"/>
      <c r="T245" s="367"/>
    </row>
    <row r="246" spans="14:20">
      <c r="N246" s="105"/>
      <c r="O246" s="105"/>
      <c r="P246" s="105"/>
      <c r="Q246" s="119"/>
      <c r="R246" s="321"/>
      <c r="S246" s="333"/>
      <c r="T246" s="350"/>
    </row>
    <row r="247" spans="14:20">
      <c r="N247" s="105"/>
      <c r="Q247" s="119"/>
      <c r="R247" s="333"/>
      <c r="S247" s="333"/>
      <c r="T247" s="350"/>
    </row>
    <row r="248" spans="14:20">
      <c r="Q248" s="105"/>
      <c r="R248" s="333"/>
      <c r="S248" s="361"/>
      <c r="T248" s="351"/>
    </row>
    <row r="249" spans="14:20">
      <c r="O249" s="105"/>
      <c r="P249" s="105"/>
      <c r="Q249" s="105"/>
      <c r="R249" s="333"/>
      <c r="S249" s="306"/>
      <c r="T249" s="353"/>
    </row>
    <row r="250" spans="14:20">
      <c r="N250" s="105"/>
      <c r="S250" s="306"/>
      <c r="T250" s="318"/>
    </row>
    <row r="251" spans="14:20">
      <c r="Q251" s="319"/>
      <c r="R251" s="306"/>
      <c r="S251" s="306"/>
      <c r="T251" s="318"/>
    </row>
    <row r="252" spans="14:20">
      <c r="Q252" s="213"/>
      <c r="R252" s="306"/>
      <c r="S252" s="306"/>
      <c r="T252" s="318"/>
    </row>
    <row r="253" spans="14:20">
      <c r="O253" s="122"/>
      <c r="Q253" s="319"/>
      <c r="R253" s="306"/>
      <c r="S253" s="306"/>
      <c r="T253" s="318"/>
    </row>
    <row r="254" spans="14:20">
      <c r="O254" s="306"/>
      <c r="P254" s="306"/>
      <c r="Q254" s="319"/>
      <c r="R254" s="306"/>
      <c r="S254" s="333"/>
      <c r="T254" s="318"/>
    </row>
    <row r="255" spans="14:20">
      <c r="N255" s="306"/>
      <c r="O255" s="306"/>
      <c r="P255" s="306"/>
      <c r="Q255" s="319"/>
      <c r="R255" s="306"/>
      <c r="S255" s="333"/>
      <c r="T255" s="350"/>
    </row>
    <row r="256" spans="14:20">
      <c r="N256" s="306"/>
      <c r="O256" s="323"/>
      <c r="P256" s="323"/>
      <c r="Q256" s="358"/>
      <c r="R256" s="333"/>
      <c r="T256" s="350"/>
    </row>
    <row r="257" spans="14:20">
      <c r="N257" s="323"/>
      <c r="O257" s="323"/>
      <c r="P257" s="323"/>
      <c r="Q257" s="360"/>
      <c r="R257" s="333"/>
      <c r="S257" s="333"/>
    </row>
    <row r="258" spans="14:20">
      <c r="N258" s="323"/>
      <c r="O258" s="105"/>
      <c r="P258" s="105"/>
      <c r="S258" s="333"/>
      <c r="T258" s="350"/>
    </row>
    <row r="259" spans="14:20">
      <c r="N259" s="105"/>
      <c r="O259" s="105"/>
      <c r="P259" s="105"/>
      <c r="Q259" s="105"/>
      <c r="R259" s="333"/>
      <c r="T259" s="350"/>
    </row>
    <row r="260" spans="14:20">
      <c r="N260" s="105"/>
      <c r="O260" s="105"/>
      <c r="P260" s="105"/>
      <c r="Q260" s="364"/>
      <c r="R260" s="333"/>
    </row>
    <row r="261" spans="14:20">
      <c r="N261" s="105"/>
      <c r="O261" s="365"/>
      <c r="P261" s="361"/>
    </row>
    <row r="264" spans="14:20">
      <c r="O264" s="122"/>
    </row>
    <row r="265" spans="14:20">
      <c r="O265" s="122"/>
    </row>
    <row r="266" spans="14:20">
      <c r="O266" s="362"/>
      <c r="P266" s="121"/>
    </row>
    <row r="267" spans="14:20">
      <c r="O267" s="105"/>
      <c r="P267" s="105"/>
      <c r="S267" s="306"/>
    </row>
    <row r="268" spans="14:20">
      <c r="N268" s="105"/>
      <c r="O268" s="105"/>
      <c r="P268" s="105"/>
      <c r="S268" s="333"/>
      <c r="T268" s="318"/>
    </row>
    <row r="269" spans="14:20">
      <c r="N269" s="105"/>
      <c r="Q269" s="319"/>
      <c r="R269" s="306"/>
      <c r="S269" s="333"/>
      <c r="T269" s="350"/>
    </row>
    <row r="270" spans="14:20">
      <c r="Q270" s="358"/>
      <c r="R270" s="333"/>
      <c r="S270" s="320"/>
      <c r="T270" s="350"/>
    </row>
    <row r="271" spans="14:20">
      <c r="O271" s="105"/>
      <c r="P271" s="105"/>
      <c r="Q271" s="360"/>
      <c r="R271" s="333"/>
      <c r="S271" s="320"/>
      <c r="T271" s="367"/>
    </row>
    <row r="272" spans="14:20">
      <c r="N272" s="105"/>
      <c r="Q272" s="119"/>
      <c r="R272" s="321"/>
      <c r="S272" s="325"/>
      <c r="T272" s="367"/>
    </row>
    <row r="273" spans="14:20">
      <c r="Q273" s="119"/>
      <c r="R273" s="321"/>
      <c r="S273" s="320"/>
      <c r="T273" s="367"/>
    </row>
    <row r="274" spans="14:20">
      <c r="Q274" s="119"/>
      <c r="R274" s="321"/>
      <c r="S274" s="333"/>
      <c r="T274" s="367"/>
    </row>
    <row r="275" spans="14:20">
      <c r="Q275" s="119"/>
      <c r="R275" s="321"/>
      <c r="S275" s="333"/>
      <c r="T275" s="350"/>
    </row>
    <row r="276" spans="14:20">
      <c r="Q276" s="119"/>
      <c r="R276" s="333"/>
      <c r="S276" s="333"/>
      <c r="T276" s="350"/>
    </row>
    <row r="277" spans="14:20">
      <c r="Q277" s="105"/>
      <c r="R277" s="333"/>
      <c r="S277" s="361"/>
      <c r="T277" s="351"/>
    </row>
    <row r="278" spans="14:20">
      <c r="Q278" s="105"/>
      <c r="R278" s="333"/>
      <c r="S278" s="306"/>
      <c r="T278" s="353"/>
    </row>
    <row r="279" spans="14:20">
      <c r="S279" s="306"/>
      <c r="T279" s="318"/>
    </row>
    <row r="280" spans="14:20">
      <c r="O280" s="362"/>
      <c r="P280" s="121"/>
      <c r="Q280" s="319"/>
      <c r="R280" s="306"/>
      <c r="S280" s="306"/>
      <c r="T280" s="318"/>
    </row>
    <row r="281" spans="14:20">
      <c r="O281" s="105"/>
      <c r="P281" s="105"/>
      <c r="Q281" s="213"/>
      <c r="R281" s="306"/>
      <c r="S281" s="306"/>
      <c r="T281" s="318"/>
    </row>
    <row r="282" spans="14:20">
      <c r="N282" s="105"/>
      <c r="O282" s="105"/>
      <c r="P282" s="105"/>
      <c r="Q282" s="319"/>
      <c r="R282" s="306"/>
      <c r="S282" s="306"/>
      <c r="T282" s="318"/>
    </row>
    <row r="283" spans="14:20">
      <c r="N283" s="105"/>
      <c r="O283" s="306"/>
      <c r="P283" s="306"/>
      <c r="Q283" s="319"/>
      <c r="R283" s="306"/>
      <c r="S283" s="333"/>
      <c r="T283" s="318"/>
    </row>
    <row r="284" spans="14:20">
      <c r="N284" s="306"/>
      <c r="O284" s="306"/>
      <c r="P284" s="306"/>
      <c r="Q284" s="319"/>
      <c r="R284" s="306"/>
      <c r="S284" s="4"/>
      <c r="T284" s="10"/>
    </row>
    <row r="285" spans="14:20">
      <c r="N285" s="306"/>
      <c r="O285" s="323"/>
      <c r="P285" s="323"/>
      <c r="Q285" s="13"/>
      <c r="R285" s="4"/>
      <c r="T285" s="10"/>
    </row>
    <row r="286" spans="14:20">
      <c r="N286" s="323"/>
      <c r="O286" s="323"/>
      <c r="P286" s="323"/>
      <c r="Q286" s="14"/>
      <c r="R286" s="4"/>
      <c r="S286" s="4"/>
    </row>
    <row r="287" spans="14:20">
      <c r="N287" s="323"/>
      <c r="O287" s="9"/>
      <c r="P287" s="9"/>
      <c r="S287" s="4"/>
      <c r="T287" s="10"/>
    </row>
    <row r="288" spans="14:20">
      <c r="N288" s="9"/>
      <c r="O288" s="9"/>
      <c r="P288" s="9"/>
      <c r="Q288" s="9"/>
      <c r="R288" s="4"/>
      <c r="T288" s="10"/>
    </row>
    <row r="289" spans="14:20">
      <c r="N289" s="9"/>
      <c r="O289" s="9"/>
      <c r="P289" s="9"/>
      <c r="Q289" s="20"/>
      <c r="R289" s="4"/>
      <c r="S289" s="306"/>
    </row>
    <row r="290" spans="14:20">
      <c r="N290" s="9"/>
      <c r="O290" s="22"/>
      <c r="P290" s="16"/>
      <c r="S290" s="4"/>
      <c r="T290" s="318"/>
    </row>
    <row r="291" spans="14:20">
      <c r="N291" s="21"/>
      <c r="Q291" s="319"/>
      <c r="R291" s="306"/>
      <c r="S291" s="4"/>
      <c r="T291" s="10"/>
    </row>
    <row r="292" spans="14:20">
      <c r="Q292" s="13"/>
      <c r="R292" s="4"/>
      <c r="S292" s="320"/>
      <c r="T292" s="10"/>
    </row>
    <row r="293" spans="14:20">
      <c r="O293" s="122"/>
      <c r="Q293" s="14"/>
      <c r="R293" s="4"/>
      <c r="S293" s="320"/>
      <c r="T293" s="23"/>
    </row>
    <row r="294" spans="14:20">
      <c r="O294" s="122"/>
      <c r="Q294" s="119"/>
      <c r="R294" s="15"/>
      <c r="S294" s="325"/>
      <c r="T294" s="23"/>
    </row>
    <row r="295" spans="14:20">
      <c r="O295" s="18"/>
      <c r="P295" s="17"/>
      <c r="Q295" s="119"/>
      <c r="R295" s="15"/>
      <c r="S295" s="320"/>
      <c r="T295" s="23"/>
    </row>
    <row r="296" spans="14:20">
      <c r="O296" s="9"/>
      <c r="P296" s="9"/>
      <c r="Q296" s="119"/>
      <c r="R296" s="15"/>
      <c r="S296" s="4"/>
      <c r="T296" s="23"/>
    </row>
    <row r="297" spans="14:20">
      <c r="N297" s="9"/>
      <c r="O297" s="9"/>
      <c r="P297" s="9"/>
      <c r="Q297" s="119"/>
      <c r="R297" s="321"/>
      <c r="S297" s="4"/>
      <c r="T297" s="10"/>
    </row>
    <row r="298" spans="14:20">
      <c r="N298" s="9"/>
      <c r="Q298" s="8"/>
      <c r="R298" s="4"/>
      <c r="S298" s="4"/>
      <c r="T298" s="10"/>
    </row>
    <row r="299" spans="14:20">
      <c r="Q299" s="9"/>
      <c r="R299" s="4"/>
      <c r="S299" s="16"/>
      <c r="T299" s="11"/>
    </row>
    <row r="300" spans="14:20">
      <c r="O300" s="9"/>
      <c r="P300" s="9"/>
      <c r="Q300" s="9"/>
      <c r="R300" s="4"/>
      <c r="S300" s="306"/>
      <c r="T300" s="12"/>
    </row>
    <row r="301" spans="14:20">
      <c r="N301" s="9"/>
      <c r="S301" s="306"/>
      <c r="T301" s="318"/>
    </row>
    <row r="302" spans="14:20">
      <c r="O302" s="18"/>
      <c r="P302" s="17"/>
      <c r="Q302" s="319"/>
      <c r="R302" s="306"/>
      <c r="S302" s="306"/>
      <c r="T302" s="318"/>
    </row>
    <row r="303" spans="14:20">
      <c r="O303" s="9"/>
      <c r="P303" s="9"/>
      <c r="Q303" s="213"/>
      <c r="R303" s="306"/>
      <c r="S303" s="306"/>
      <c r="T303" s="318"/>
    </row>
    <row r="304" spans="14:20">
      <c r="N304" s="9"/>
      <c r="O304" s="9"/>
      <c r="P304" s="9"/>
      <c r="Q304" s="319"/>
      <c r="R304" s="306"/>
      <c r="S304" s="306"/>
      <c r="T304" s="318"/>
    </row>
    <row r="305" spans="14:20">
      <c r="N305" s="9"/>
      <c r="O305" s="306"/>
      <c r="P305" s="306"/>
      <c r="Q305" s="319"/>
      <c r="R305" s="306"/>
      <c r="S305" s="4"/>
      <c r="T305" s="318"/>
    </row>
    <row r="306" spans="14:20">
      <c r="N306" s="306"/>
      <c r="O306" s="306"/>
      <c r="P306" s="306"/>
      <c r="Q306" s="319"/>
      <c r="R306" s="306"/>
      <c r="S306" s="4"/>
      <c r="T306" s="10"/>
    </row>
    <row r="307" spans="14:20">
      <c r="N307" s="306"/>
      <c r="O307" s="323"/>
      <c r="P307" s="323"/>
      <c r="Q307" s="13"/>
      <c r="R307" s="4"/>
      <c r="T307" s="10"/>
    </row>
    <row r="308" spans="14:20">
      <c r="N308" s="323"/>
      <c r="O308" s="323"/>
      <c r="P308" s="323"/>
      <c r="Q308" s="14"/>
      <c r="R308" s="4"/>
      <c r="S308" s="4"/>
    </row>
    <row r="309" spans="14:20">
      <c r="N309" s="323"/>
      <c r="O309" s="9"/>
      <c r="P309" s="9"/>
      <c r="S309" s="4"/>
      <c r="T309" s="10"/>
    </row>
    <row r="310" spans="14:20">
      <c r="N310" s="9"/>
      <c r="O310" s="9"/>
      <c r="P310" s="9"/>
      <c r="Q310" s="9"/>
      <c r="R310" s="4"/>
      <c r="T310" s="10"/>
    </row>
    <row r="311" spans="14:20">
      <c r="N311" s="9"/>
      <c r="O311" s="9"/>
      <c r="P311" s="9"/>
      <c r="Q311" s="20"/>
      <c r="R311" s="4"/>
    </row>
    <row r="312" spans="14:20">
      <c r="N312" s="9"/>
      <c r="O312" s="22"/>
      <c r="P312" s="16"/>
    </row>
    <row r="313" spans="14:20">
      <c r="N313" s="21"/>
    </row>
    <row r="315" spans="14:20">
      <c r="O315" s="122"/>
    </row>
    <row r="316" spans="14:20">
      <c r="O316" s="122"/>
    </row>
    <row r="317" spans="14:20">
      <c r="O317" s="18"/>
      <c r="P317" s="17"/>
    </row>
    <row r="318" spans="14:20">
      <c r="O318" s="9"/>
      <c r="P318" s="9"/>
    </row>
    <row r="319" spans="14:20">
      <c r="N319" s="9"/>
      <c r="O319" s="9"/>
      <c r="P319" s="9"/>
    </row>
    <row r="320" spans="14:20">
      <c r="N320" s="9"/>
    </row>
    <row r="322" spans="14:16">
      <c r="O322" s="9"/>
      <c r="P322" s="9"/>
    </row>
    <row r="323" spans="14:16">
      <c r="N323" s="9"/>
    </row>
  </sheetData>
  <mergeCells count="12">
    <mergeCell ref="A3:D3"/>
    <mergeCell ref="F3:I3"/>
    <mergeCell ref="K3:T3"/>
    <mergeCell ref="K4:L5"/>
    <mergeCell ref="M4:T4"/>
    <mergeCell ref="K11:L11"/>
    <mergeCell ref="A35:D35"/>
    <mergeCell ref="F35:I35"/>
    <mergeCell ref="K35:N35"/>
    <mergeCell ref="A69:D69"/>
    <mergeCell ref="F69:I69"/>
    <mergeCell ref="K69:N69"/>
  </mergeCells>
  <phoneticPr fontId="67" type="noConversion"/>
  <pageMargins left="0.25" right="0.25" top="0.75" bottom="0.75" header="0.3" footer="0.3"/>
  <pageSetup scale="50" fitToHeight="0" orientation="landscape" r:id="rId1"/>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I23"/>
  <sheetViews>
    <sheetView zoomScale="160" zoomScaleNormal="160" workbookViewId="0">
      <selection activeCell="J17" sqref="J17"/>
    </sheetView>
  </sheetViews>
  <sheetFormatPr defaultRowHeight="15"/>
  <cols>
    <col min="1" max="1" width="22" customWidth="1"/>
    <col min="2" max="2" width="15.85546875" bestFit="1" customWidth="1"/>
    <col min="3" max="4" width="10.140625" bestFit="1" customWidth="1"/>
    <col min="5" max="5" width="10.140625" customWidth="1"/>
    <col min="6" max="6" width="10.140625" bestFit="1" customWidth="1"/>
  </cols>
  <sheetData>
    <row r="3" spans="1:7">
      <c r="C3" s="1212" t="s">
        <v>384</v>
      </c>
      <c r="D3" s="1211">
        <v>44562</v>
      </c>
      <c r="E3" s="369"/>
      <c r="F3" s="1212" t="s">
        <v>439</v>
      </c>
    </row>
    <row r="4" spans="1:7">
      <c r="A4" s="373" t="s">
        <v>440</v>
      </c>
      <c r="C4" s="1212"/>
      <c r="D4" s="1211"/>
      <c r="F4" s="1212"/>
    </row>
    <row r="5" spans="1:7">
      <c r="B5" t="s">
        <v>441</v>
      </c>
      <c r="C5" s="186">
        <f>'Parent Skill Dev Group'!K24</f>
        <v>1149.97</v>
      </c>
      <c r="D5" s="186">
        <f>'Parent Skill Dev Group'!K25</f>
        <v>1248</v>
      </c>
      <c r="E5" s="370">
        <f>(D5-C5)/C5</f>
        <v>8.5245702061792897E-2</v>
      </c>
      <c r="F5" s="186" t="e">
        <f>'Parent Skill Dev Group'!K23</f>
        <v>#REF!</v>
      </c>
      <c r="G5" s="370" t="e">
        <f>(F5-C5)/C5</f>
        <v>#REF!</v>
      </c>
    </row>
    <row r="6" spans="1:7">
      <c r="B6" t="s">
        <v>442</v>
      </c>
      <c r="C6" s="186">
        <f>'Family Skills Dev Group'!K24</f>
        <v>1496.44</v>
      </c>
      <c r="D6" s="186">
        <f>'Family Skills Dev Group'!K25</f>
        <v>1692.63</v>
      </c>
      <c r="E6" s="370">
        <f>(D6-C6)/C6</f>
        <v>0.13110448798481733</v>
      </c>
      <c r="F6" s="371" t="e">
        <f>'Family Skills Dev Group'!K23</f>
        <v>#REF!</v>
      </c>
      <c r="G6" s="370" t="e">
        <f>(F6-C6)/C6</f>
        <v>#REF!</v>
      </c>
    </row>
    <row r="7" spans="1:7">
      <c r="B7" t="s">
        <v>443</v>
      </c>
      <c r="C7" s="186">
        <f>'Specialty Family Skills Group'!L30</f>
        <v>2339.58</v>
      </c>
      <c r="D7" s="186">
        <f>'Specialty Family Skills Group'!L31</f>
        <v>2449.92</v>
      </c>
      <c r="E7" s="370">
        <f>(D7-C7)/C7</f>
        <v>4.7162311184058739E-2</v>
      </c>
      <c r="F7" s="371" t="e">
        <f>'Specialty Family Skills Group'!L29</f>
        <v>#REF!</v>
      </c>
      <c r="G7" s="370" t="e">
        <f>(F7-C7)/C7</f>
        <v>#REF!</v>
      </c>
    </row>
    <row r="8" spans="1:7">
      <c r="A8" s="373" t="s">
        <v>444</v>
      </c>
      <c r="E8" s="370"/>
      <c r="G8" s="370"/>
    </row>
    <row r="9" spans="1:7">
      <c r="B9" t="s">
        <v>445</v>
      </c>
      <c r="C9" s="186">
        <f>'Clinical Comp'!D32</f>
        <v>37.21</v>
      </c>
      <c r="D9" s="186">
        <f>'Clinical Comp'!D33</f>
        <v>39.14</v>
      </c>
      <c r="E9" s="370">
        <f t="shared" ref="E9:E23" si="0">(D9-C9)/C9</f>
        <v>5.1867777479172254E-2</v>
      </c>
      <c r="F9" s="186" t="e">
        <f>'Clinical Comp'!D31</f>
        <v>#REF!</v>
      </c>
      <c r="G9" s="370" t="e">
        <f t="shared" ref="G9:G23" si="1">(F9-C9)/C9</f>
        <v>#REF!</v>
      </c>
    </row>
    <row r="10" spans="1:7">
      <c r="B10" t="s">
        <v>446</v>
      </c>
      <c r="C10" s="186">
        <f>'Clinical Comp'!I32</f>
        <v>50.28</v>
      </c>
      <c r="D10" s="186">
        <f>'Clinical Comp'!I33</f>
        <v>59.09</v>
      </c>
      <c r="E10" s="370">
        <f t="shared" si="0"/>
        <v>0.17521877486077966</v>
      </c>
      <c r="F10" s="186" t="e">
        <f>'Clinical Comp'!I31</f>
        <v>#REF!</v>
      </c>
      <c r="G10" s="370" t="e">
        <f t="shared" si="1"/>
        <v>#REF!</v>
      </c>
    </row>
    <row r="11" spans="1:7">
      <c r="B11" t="s">
        <v>447</v>
      </c>
      <c r="C11" s="186">
        <f>'Clinical Comp'!D66</f>
        <v>68.37</v>
      </c>
      <c r="D11" s="186">
        <f>'Clinical Comp'!D67</f>
        <v>73.19</v>
      </c>
      <c r="E11" s="370">
        <f t="shared" si="0"/>
        <v>7.0498756764662759E-2</v>
      </c>
      <c r="F11" s="186" t="e">
        <f>'Clinical Comp'!D65</f>
        <v>#REF!</v>
      </c>
      <c r="G11" s="370" t="e">
        <f t="shared" si="1"/>
        <v>#REF!</v>
      </c>
    </row>
    <row r="12" spans="1:7">
      <c r="B12" t="s">
        <v>448</v>
      </c>
      <c r="C12" s="186">
        <f>'Clinical Comp'!I66</f>
        <v>67.650000000000006</v>
      </c>
      <c r="D12" s="186">
        <f>'Clinical Comp'!I67</f>
        <v>74.34</v>
      </c>
      <c r="E12" s="370">
        <f t="shared" si="0"/>
        <v>9.8891352549889094E-2</v>
      </c>
      <c r="F12" s="186" t="e">
        <f>'Clinical Comp'!I65</f>
        <v>#REF!</v>
      </c>
      <c r="G12" s="370" t="e">
        <f t="shared" si="1"/>
        <v>#REF!</v>
      </c>
    </row>
    <row r="13" spans="1:7">
      <c r="B13" t="s">
        <v>449</v>
      </c>
      <c r="C13" s="186">
        <f>'Clinical Comp'!N66</f>
        <v>71.59</v>
      </c>
      <c r="D13" s="186">
        <f>'Clinical Comp'!N67</f>
        <v>72.599999999999994</v>
      </c>
      <c r="E13" s="370">
        <f t="shared" si="0"/>
        <v>1.4108115658611409E-2</v>
      </c>
      <c r="F13" s="186" t="e">
        <f>'Clinical Comp'!N65</f>
        <v>#REF!</v>
      </c>
      <c r="G13" s="370" t="e">
        <f t="shared" si="1"/>
        <v>#REF!</v>
      </c>
    </row>
    <row r="14" spans="1:7">
      <c r="B14" t="s">
        <v>450</v>
      </c>
      <c r="C14" s="186">
        <f>'Clinical Comp'!D98</f>
        <v>105.21</v>
      </c>
      <c r="D14" s="186">
        <f>'Clinical Comp'!D99</f>
        <v>105.96</v>
      </c>
      <c r="E14" s="370">
        <f t="shared" si="0"/>
        <v>7.1285999429712005E-3</v>
      </c>
      <c r="F14" s="186" t="e">
        <f>'Clinical Comp'!D97</f>
        <v>#REF!</v>
      </c>
      <c r="G14" s="370" t="e">
        <f t="shared" si="1"/>
        <v>#REF!</v>
      </c>
    </row>
    <row r="15" spans="1:7">
      <c r="B15" t="s">
        <v>451</v>
      </c>
      <c r="C15" s="186">
        <f>'Clinical Comp'!I98</f>
        <v>152.13999999999999</v>
      </c>
      <c r="D15" s="186">
        <f>'Clinical Comp'!I99</f>
        <v>177.18</v>
      </c>
      <c r="E15" s="370">
        <f t="shared" si="0"/>
        <v>0.16458525042723823</v>
      </c>
      <c r="F15" s="186" t="e">
        <f>'Clinical Comp'!I97</f>
        <v>#REF!</v>
      </c>
      <c r="G15" s="370" t="e">
        <f t="shared" si="1"/>
        <v>#REF!</v>
      </c>
    </row>
    <row r="16" spans="1:7">
      <c r="B16" t="s">
        <v>452</v>
      </c>
      <c r="C16" s="186">
        <f>'Clinical Comp'!N98</f>
        <v>126.5</v>
      </c>
      <c r="D16" s="186">
        <f>'Clinical Comp'!N99</f>
        <v>131.21</v>
      </c>
      <c r="E16" s="370">
        <f t="shared" si="0"/>
        <v>3.7233201581027733E-2</v>
      </c>
      <c r="F16" s="186" t="e">
        <f>'Clinical Comp'!N97</f>
        <v>#REF!</v>
      </c>
      <c r="G16" s="370" t="e">
        <f t="shared" si="1"/>
        <v>#REF!</v>
      </c>
    </row>
    <row r="17" spans="1:9">
      <c r="E17" s="370"/>
      <c r="G17" s="370"/>
    </row>
    <row r="18" spans="1:9">
      <c r="A18" s="105" t="s">
        <v>453</v>
      </c>
      <c r="C18" s="140"/>
      <c r="D18" s="105"/>
      <c r="E18" s="370"/>
      <c r="F18" s="27"/>
      <c r="G18" s="370"/>
    </row>
    <row r="19" spans="1:9">
      <c r="B19" s="316" t="s">
        <v>454</v>
      </c>
      <c r="C19" s="144">
        <v>67.5</v>
      </c>
      <c r="D19" s="145">
        <v>68.52</v>
      </c>
      <c r="E19" s="370">
        <f t="shared" si="0"/>
        <v>1.5111111111111053E-2</v>
      </c>
      <c r="F19" s="145" t="e">
        <f>D19*(1+'Parent Skill Dev Group'!$O$16)</f>
        <v>#REF!</v>
      </c>
      <c r="G19" s="370" t="e">
        <f t="shared" si="1"/>
        <v>#REF!</v>
      </c>
    </row>
    <row r="20" spans="1:9">
      <c r="B20" s="372" t="s">
        <v>406</v>
      </c>
      <c r="C20" s="144">
        <v>165.84</v>
      </c>
      <c r="D20" s="145">
        <v>168.53</v>
      </c>
      <c r="E20" s="370">
        <f t="shared" si="0"/>
        <v>1.6220453449107559E-2</v>
      </c>
      <c r="F20" s="145" t="e">
        <f>D20*(1+'Parent Skill Dev Group'!$O$16)</f>
        <v>#REF!</v>
      </c>
      <c r="G20" s="370" t="e">
        <f t="shared" si="1"/>
        <v>#REF!</v>
      </c>
      <c r="I20" s="374" t="s">
        <v>455</v>
      </c>
    </row>
    <row r="21" spans="1:9">
      <c r="B21" s="27" t="s">
        <v>408</v>
      </c>
      <c r="C21" s="144">
        <v>47.73</v>
      </c>
      <c r="D21" s="145">
        <v>48.59</v>
      </c>
      <c r="E21" s="370">
        <f t="shared" si="0"/>
        <v>1.8018018018018157E-2</v>
      </c>
      <c r="F21" s="145" t="e">
        <f>D21*(1+'Parent Skill Dev Group'!$O$16)</f>
        <v>#REF!</v>
      </c>
      <c r="G21" s="370" t="e">
        <f t="shared" si="1"/>
        <v>#REF!</v>
      </c>
    </row>
    <row r="22" spans="1:9">
      <c r="B22" s="27" t="s">
        <v>456</v>
      </c>
      <c r="C22" s="144">
        <v>134.63</v>
      </c>
      <c r="D22" s="145">
        <v>137.06</v>
      </c>
      <c r="E22" s="370">
        <f t="shared" si="0"/>
        <v>1.8049468914803586E-2</v>
      </c>
      <c r="F22" s="145" t="e">
        <f>D22*(1+'Parent Skill Dev Group'!$O$16)</f>
        <v>#REF!</v>
      </c>
      <c r="G22" s="370" t="e">
        <f t="shared" si="1"/>
        <v>#REF!</v>
      </c>
    </row>
    <row r="23" spans="1:9">
      <c r="B23" s="27" t="s">
        <v>457</v>
      </c>
      <c r="C23" s="144">
        <v>161.56</v>
      </c>
      <c r="D23" s="145">
        <v>164.48</v>
      </c>
      <c r="E23" s="370">
        <f t="shared" si="0"/>
        <v>1.8073780638771894E-2</v>
      </c>
      <c r="F23" s="145" t="e">
        <f>D23*(1+'Parent Skill Dev Group'!$O$16)</f>
        <v>#REF!</v>
      </c>
      <c r="G23" s="370" t="e">
        <f t="shared" si="1"/>
        <v>#REF!</v>
      </c>
    </row>
  </sheetData>
  <mergeCells count="3">
    <mergeCell ref="D3:D4"/>
    <mergeCell ref="F3:F4"/>
    <mergeCell ref="C3:C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CE738-834E-42FF-A067-B09F7DCFCEC0}">
  <dimension ref="A1:CT28"/>
  <sheetViews>
    <sheetView topLeftCell="BL1" workbookViewId="0">
      <selection activeCell="BZ21" sqref="BZ21:CG21"/>
    </sheetView>
  </sheetViews>
  <sheetFormatPr defaultRowHeight="12.75"/>
  <cols>
    <col min="1" max="1" width="38.42578125" style="618" customWidth="1"/>
    <col min="2" max="2" width="12.85546875" style="623" customWidth="1"/>
    <col min="3" max="62" width="7.7109375" style="618" hidden="1" customWidth="1"/>
    <col min="63" max="82" width="7.7109375" style="618" customWidth="1"/>
    <col min="83" max="256" width="9.140625" style="618"/>
    <col min="257" max="257" width="38.42578125" style="618" customWidth="1"/>
    <col min="258" max="258" width="12.85546875" style="618" customWidth="1"/>
    <col min="259" max="318" width="0" style="618" hidden="1" customWidth="1"/>
    <col min="319" max="338" width="7.7109375" style="618" customWidth="1"/>
    <col min="339" max="512" width="9.140625" style="618"/>
    <col min="513" max="513" width="38.42578125" style="618" customWidth="1"/>
    <col min="514" max="514" width="12.85546875" style="618" customWidth="1"/>
    <col min="515" max="574" width="0" style="618" hidden="1" customWidth="1"/>
    <col min="575" max="594" width="7.7109375" style="618" customWidth="1"/>
    <col min="595" max="768" width="9.140625" style="618"/>
    <col min="769" max="769" width="38.42578125" style="618" customWidth="1"/>
    <col min="770" max="770" width="12.85546875" style="618" customWidth="1"/>
    <col min="771" max="830" width="0" style="618" hidden="1" customWidth="1"/>
    <col min="831" max="850" width="7.7109375" style="618" customWidth="1"/>
    <col min="851" max="1024" width="9.140625" style="618"/>
    <col min="1025" max="1025" width="38.42578125" style="618" customWidth="1"/>
    <col min="1026" max="1026" width="12.85546875" style="618" customWidth="1"/>
    <col min="1027" max="1086" width="0" style="618" hidden="1" customWidth="1"/>
    <col min="1087" max="1106" width="7.7109375" style="618" customWidth="1"/>
    <col min="1107" max="1280" width="9.140625" style="618"/>
    <col min="1281" max="1281" width="38.42578125" style="618" customWidth="1"/>
    <col min="1282" max="1282" width="12.85546875" style="618" customWidth="1"/>
    <col min="1283" max="1342" width="0" style="618" hidden="1" customWidth="1"/>
    <col min="1343" max="1362" width="7.7109375" style="618" customWidth="1"/>
    <col min="1363" max="1536" width="9.140625" style="618"/>
    <col min="1537" max="1537" width="38.42578125" style="618" customWidth="1"/>
    <col min="1538" max="1538" width="12.85546875" style="618" customWidth="1"/>
    <col min="1539" max="1598" width="0" style="618" hidden="1" customWidth="1"/>
    <col min="1599" max="1618" width="7.7109375" style="618" customWidth="1"/>
    <col min="1619" max="1792" width="9.140625" style="618"/>
    <col min="1793" max="1793" width="38.42578125" style="618" customWidth="1"/>
    <col min="1794" max="1794" width="12.85546875" style="618" customWidth="1"/>
    <col min="1795" max="1854" width="0" style="618" hidden="1" customWidth="1"/>
    <col min="1855" max="1874" width="7.7109375" style="618" customWidth="1"/>
    <col min="1875" max="2048" width="9.140625" style="618"/>
    <col min="2049" max="2049" width="38.42578125" style="618" customWidth="1"/>
    <col min="2050" max="2050" width="12.85546875" style="618" customWidth="1"/>
    <col min="2051" max="2110" width="0" style="618" hidden="1" customWidth="1"/>
    <col min="2111" max="2130" width="7.7109375" style="618" customWidth="1"/>
    <col min="2131" max="2304" width="9.140625" style="618"/>
    <col min="2305" max="2305" width="38.42578125" style="618" customWidth="1"/>
    <col min="2306" max="2306" width="12.85546875" style="618" customWidth="1"/>
    <col min="2307" max="2366" width="0" style="618" hidden="1" customWidth="1"/>
    <col min="2367" max="2386" width="7.7109375" style="618" customWidth="1"/>
    <col min="2387" max="2560" width="9.140625" style="618"/>
    <col min="2561" max="2561" width="38.42578125" style="618" customWidth="1"/>
    <col min="2562" max="2562" width="12.85546875" style="618" customWidth="1"/>
    <col min="2563" max="2622" width="0" style="618" hidden="1" customWidth="1"/>
    <col min="2623" max="2642" width="7.7109375" style="618" customWidth="1"/>
    <col min="2643" max="2816" width="9.140625" style="618"/>
    <col min="2817" max="2817" width="38.42578125" style="618" customWidth="1"/>
    <col min="2818" max="2818" width="12.85546875" style="618" customWidth="1"/>
    <col min="2819" max="2878" width="0" style="618" hidden="1" customWidth="1"/>
    <col min="2879" max="2898" width="7.7109375" style="618" customWidth="1"/>
    <col min="2899" max="3072" width="9.140625" style="618"/>
    <col min="3073" max="3073" width="38.42578125" style="618" customWidth="1"/>
    <col min="3074" max="3074" width="12.85546875" style="618" customWidth="1"/>
    <col min="3075" max="3134" width="0" style="618" hidden="1" customWidth="1"/>
    <col min="3135" max="3154" width="7.7109375" style="618" customWidth="1"/>
    <col min="3155" max="3328" width="9.140625" style="618"/>
    <col min="3329" max="3329" width="38.42578125" style="618" customWidth="1"/>
    <col min="3330" max="3330" width="12.85546875" style="618" customWidth="1"/>
    <col min="3331" max="3390" width="0" style="618" hidden="1" customWidth="1"/>
    <col min="3391" max="3410" width="7.7109375" style="618" customWidth="1"/>
    <col min="3411" max="3584" width="9.140625" style="618"/>
    <col min="3585" max="3585" width="38.42578125" style="618" customWidth="1"/>
    <col min="3586" max="3586" width="12.85546875" style="618" customWidth="1"/>
    <col min="3587" max="3646" width="0" style="618" hidden="1" customWidth="1"/>
    <col min="3647" max="3666" width="7.7109375" style="618" customWidth="1"/>
    <col min="3667" max="3840" width="9.140625" style="618"/>
    <col min="3841" max="3841" width="38.42578125" style="618" customWidth="1"/>
    <col min="3842" max="3842" width="12.85546875" style="618" customWidth="1"/>
    <col min="3843" max="3902" width="0" style="618" hidden="1" customWidth="1"/>
    <col min="3903" max="3922" width="7.7109375" style="618" customWidth="1"/>
    <col min="3923" max="4096" width="9.140625" style="618"/>
    <col min="4097" max="4097" width="38.42578125" style="618" customWidth="1"/>
    <col min="4098" max="4098" width="12.85546875" style="618" customWidth="1"/>
    <col min="4099" max="4158" width="0" style="618" hidden="1" customWidth="1"/>
    <col min="4159" max="4178" width="7.7109375" style="618" customWidth="1"/>
    <col min="4179" max="4352" width="9.140625" style="618"/>
    <col min="4353" max="4353" width="38.42578125" style="618" customWidth="1"/>
    <col min="4354" max="4354" width="12.85546875" style="618" customWidth="1"/>
    <col min="4355" max="4414" width="0" style="618" hidden="1" customWidth="1"/>
    <col min="4415" max="4434" width="7.7109375" style="618" customWidth="1"/>
    <col min="4435" max="4608" width="9.140625" style="618"/>
    <col min="4609" max="4609" width="38.42578125" style="618" customWidth="1"/>
    <col min="4610" max="4610" width="12.85546875" style="618" customWidth="1"/>
    <col min="4611" max="4670" width="0" style="618" hidden="1" customWidth="1"/>
    <col min="4671" max="4690" width="7.7109375" style="618" customWidth="1"/>
    <col min="4691" max="4864" width="9.140625" style="618"/>
    <col min="4865" max="4865" width="38.42578125" style="618" customWidth="1"/>
    <col min="4866" max="4866" width="12.85546875" style="618" customWidth="1"/>
    <col min="4867" max="4926" width="0" style="618" hidden="1" customWidth="1"/>
    <col min="4927" max="4946" width="7.7109375" style="618" customWidth="1"/>
    <col min="4947" max="5120" width="9.140625" style="618"/>
    <col min="5121" max="5121" width="38.42578125" style="618" customWidth="1"/>
    <col min="5122" max="5122" width="12.85546875" style="618" customWidth="1"/>
    <col min="5123" max="5182" width="0" style="618" hidden="1" customWidth="1"/>
    <col min="5183" max="5202" width="7.7109375" style="618" customWidth="1"/>
    <col min="5203" max="5376" width="9.140625" style="618"/>
    <col min="5377" max="5377" width="38.42578125" style="618" customWidth="1"/>
    <col min="5378" max="5378" width="12.85546875" style="618" customWidth="1"/>
    <col min="5379" max="5438" width="0" style="618" hidden="1" customWidth="1"/>
    <col min="5439" max="5458" width="7.7109375" style="618" customWidth="1"/>
    <col min="5459" max="5632" width="9.140625" style="618"/>
    <col min="5633" max="5633" width="38.42578125" style="618" customWidth="1"/>
    <col min="5634" max="5634" width="12.85546875" style="618" customWidth="1"/>
    <col min="5635" max="5694" width="0" style="618" hidden="1" customWidth="1"/>
    <col min="5695" max="5714" width="7.7109375" style="618" customWidth="1"/>
    <col min="5715" max="5888" width="9.140625" style="618"/>
    <col min="5889" max="5889" width="38.42578125" style="618" customWidth="1"/>
    <col min="5890" max="5890" width="12.85546875" style="618" customWidth="1"/>
    <col min="5891" max="5950" width="0" style="618" hidden="1" customWidth="1"/>
    <col min="5951" max="5970" width="7.7109375" style="618" customWidth="1"/>
    <col min="5971" max="6144" width="9.140625" style="618"/>
    <col min="6145" max="6145" width="38.42578125" style="618" customWidth="1"/>
    <col min="6146" max="6146" width="12.85546875" style="618" customWidth="1"/>
    <col min="6147" max="6206" width="0" style="618" hidden="1" customWidth="1"/>
    <col min="6207" max="6226" width="7.7109375" style="618" customWidth="1"/>
    <col min="6227" max="6400" width="9.140625" style="618"/>
    <col min="6401" max="6401" width="38.42578125" style="618" customWidth="1"/>
    <col min="6402" max="6402" width="12.85546875" style="618" customWidth="1"/>
    <col min="6403" max="6462" width="0" style="618" hidden="1" customWidth="1"/>
    <col min="6463" max="6482" width="7.7109375" style="618" customWidth="1"/>
    <col min="6483" max="6656" width="9.140625" style="618"/>
    <col min="6657" max="6657" width="38.42578125" style="618" customWidth="1"/>
    <col min="6658" max="6658" width="12.85546875" style="618" customWidth="1"/>
    <col min="6659" max="6718" width="0" style="618" hidden="1" customWidth="1"/>
    <col min="6719" max="6738" width="7.7109375" style="618" customWidth="1"/>
    <col min="6739" max="6912" width="9.140625" style="618"/>
    <col min="6913" max="6913" width="38.42578125" style="618" customWidth="1"/>
    <col min="6914" max="6914" width="12.85546875" style="618" customWidth="1"/>
    <col min="6915" max="6974" width="0" style="618" hidden="1" customWidth="1"/>
    <col min="6975" max="6994" width="7.7109375" style="618" customWidth="1"/>
    <col min="6995" max="7168" width="9.140625" style="618"/>
    <col min="7169" max="7169" width="38.42578125" style="618" customWidth="1"/>
    <col min="7170" max="7170" width="12.85546875" style="618" customWidth="1"/>
    <col min="7171" max="7230" width="0" style="618" hidden="1" customWidth="1"/>
    <col min="7231" max="7250" width="7.7109375" style="618" customWidth="1"/>
    <col min="7251" max="7424" width="9.140625" style="618"/>
    <col min="7425" max="7425" width="38.42578125" style="618" customWidth="1"/>
    <col min="7426" max="7426" width="12.85546875" style="618" customWidth="1"/>
    <col min="7427" max="7486" width="0" style="618" hidden="1" customWidth="1"/>
    <col min="7487" max="7506" width="7.7109375" style="618" customWidth="1"/>
    <col min="7507" max="7680" width="9.140625" style="618"/>
    <col min="7681" max="7681" width="38.42578125" style="618" customWidth="1"/>
    <col min="7682" max="7682" width="12.85546875" style="618" customWidth="1"/>
    <col min="7683" max="7742" width="0" style="618" hidden="1" customWidth="1"/>
    <col min="7743" max="7762" width="7.7109375" style="618" customWidth="1"/>
    <col min="7763" max="7936" width="9.140625" style="618"/>
    <col min="7937" max="7937" width="38.42578125" style="618" customWidth="1"/>
    <col min="7938" max="7938" width="12.85546875" style="618" customWidth="1"/>
    <col min="7939" max="7998" width="0" style="618" hidden="1" customWidth="1"/>
    <col min="7999" max="8018" width="7.7109375" style="618" customWidth="1"/>
    <col min="8019" max="8192" width="9.140625" style="618"/>
    <col min="8193" max="8193" width="38.42578125" style="618" customWidth="1"/>
    <col min="8194" max="8194" width="12.85546875" style="618" customWidth="1"/>
    <col min="8195" max="8254" width="0" style="618" hidden="1" customWidth="1"/>
    <col min="8255" max="8274" width="7.7109375" style="618" customWidth="1"/>
    <col min="8275" max="8448" width="9.140625" style="618"/>
    <col min="8449" max="8449" width="38.42578125" style="618" customWidth="1"/>
    <col min="8450" max="8450" width="12.85546875" style="618" customWidth="1"/>
    <col min="8451" max="8510" width="0" style="618" hidden="1" customWidth="1"/>
    <col min="8511" max="8530" width="7.7109375" style="618" customWidth="1"/>
    <col min="8531" max="8704" width="9.140625" style="618"/>
    <col min="8705" max="8705" width="38.42578125" style="618" customWidth="1"/>
    <col min="8706" max="8706" width="12.85546875" style="618" customWidth="1"/>
    <col min="8707" max="8766" width="0" style="618" hidden="1" customWidth="1"/>
    <col min="8767" max="8786" width="7.7109375" style="618" customWidth="1"/>
    <col min="8787" max="8960" width="9.140625" style="618"/>
    <col min="8961" max="8961" width="38.42578125" style="618" customWidth="1"/>
    <col min="8962" max="8962" width="12.85546875" style="618" customWidth="1"/>
    <col min="8963" max="9022" width="0" style="618" hidden="1" customWidth="1"/>
    <col min="9023" max="9042" width="7.7109375" style="618" customWidth="1"/>
    <col min="9043" max="9216" width="9.140625" style="618"/>
    <col min="9217" max="9217" width="38.42578125" style="618" customWidth="1"/>
    <col min="9218" max="9218" width="12.85546875" style="618" customWidth="1"/>
    <col min="9219" max="9278" width="0" style="618" hidden="1" customWidth="1"/>
    <col min="9279" max="9298" width="7.7109375" style="618" customWidth="1"/>
    <col min="9299" max="9472" width="9.140625" style="618"/>
    <col min="9473" max="9473" width="38.42578125" style="618" customWidth="1"/>
    <col min="9474" max="9474" width="12.85546875" style="618" customWidth="1"/>
    <col min="9475" max="9534" width="0" style="618" hidden="1" customWidth="1"/>
    <col min="9535" max="9554" width="7.7109375" style="618" customWidth="1"/>
    <col min="9555" max="9728" width="9.140625" style="618"/>
    <col min="9729" max="9729" width="38.42578125" style="618" customWidth="1"/>
    <col min="9730" max="9730" width="12.85546875" style="618" customWidth="1"/>
    <col min="9731" max="9790" width="0" style="618" hidden="1" customWidth="1"/>
    <col min="9791" max="9810" width="7.7109375" style="618" customWidth="1"/>
    <col min="9811" max="9984" width="9.140625" style="618"/>
    <col min="9985" max="9985" width="38.42578125" style="618" customWidth="1"/>
    <col min="9986" max="9986" width="12.85546875" style="618" customWidth="1"/>
    <col min="9987" max="10046" width="0" style="618" hidden="1" customWidth="1"/>
    <col min="10047" max="10066" width="7.7109375" style="618" customWidth="1"/>
    <col min="10067" max="10240" width="9.140625" style="618"/>
    <col min="10241" max="10241" width="38.42578125" style="618" customWidth="1"/>
    <col min="10242" max="10242" width="12.85546875" style="618" customWidth="1"/>
    <col min="10243" max="10302" width="0" style="618" hidden="1" customWidth="1"/>
    <col min="10303" max="10322" width="7.7109375" style="618" customWidth="1"/>
    <col min="10323" max="10496" width="9.140625" style="618"/>
    <col min="10497" max="10497" width="38.42578125" style="618" customWidth="1"/>
    <col min="10498" max="10498" width="12.85546875" style="618" customWidth="1"/>
    <col min="10499" max="10558" width="0" style="618" hidden="1" customWidth="1"/>
    <col min="10559" max="10578" width="7.7109375" style="618" customWidth="1"/>
    <col min="10579" max="10752" width="9.140625" style="618"/>
    <col min="10753" max="10753" width="38.42578125" style="618" customWidth="1"/>
    <col min="10754" max="10754" width="12.85546875" style="618" customWidth="1"/>
    <col min="10755" max="10814" width="0" style="618" hidden="1" customWidth="1"/>
    <col min="10815" max="10834" width="7.7109375" style="618" customWidth="1"/>
    <col min="10835" max="11008" width="9.140625" style="618"/>
    <col min="11009" max="11009" width="38.42578125" style="618" customWidth="1"/>
    <col min="11010" max="11010" width="12.85546875" style="618" customWidth="1"/>
    <col min="11011" max="11070" width="0" style="618" hidden="1" customWidth="1"/>
    <col min="11071" max="11090" width="7.7109375" style="618" customWidth="1"/>
    <col min="11091" max="11264" width="9.140625" style="618"/>
    <col min="11265" max="11265" width="38.42578125" style="618" customWidth="1"/>
    <col min="11266" max="11266" width="12.85546875" style="618" customWidth="1"/>
    <col min="11267" max="11326" width="0" style="618" hidden="1" customWidth="1"/>
    <col min="11327" max="11346" width="7.7109375" style="618" customWidth="1"/>
    <col min="11347" max="11520" width="9.140625" style="618"/>
    <col min="11521" max="11521" width="38.42578125" style="618" customWidth="1"/>
    <col min="11522" max="11522" width="12.85546875" style="618" customWidth="1"/>
    <col min="11523" max="11582" width="0" style="618" hidden="1" customWidth="1"/>
    <col min="11583" max="11602" width="7.7109375" style="618" customWidth="1"/>
    <col min="11603" max="11776" width="9.140625" style="618"/>
    <col min="11777" max="11777" width="38.42578125" style="618" customWidth="1"/>
    <col min="11778" max="11778" width="12.85546875" style="618" customWidth="1"/>
    <col min="11779" max="11838" width="0" style="618" hidden="1" customWidth="1"/>
    <col min="11839" max="11858" width="7.7109375" style="618" customWidth="1"/>
    <col min="11859" max="12032" width="9.140625" style="618"/>
    <col min="12033" max="12033" width="38.42578125" style="618" customWidth="1"/>
    <col min="12034" max="12034" width="12.85546875" style="618" customWidth="1"/>
    <col min="12035" max="12094" width="0" style="618" hidden="1" customWidth="1"/>
    <col min="12095" max="12114" width="7.7109375" style="618" customWidth="1"/>
    <col min="12115" max="12288" width="9.140625" style="618"/>
    <col min="12289" max="12289" width="38.42578125" style="618" customWidth="1"/>
    <col min="12290" max="12290" width="12.85546875" style="618" customWidth="1"/>
    <col min="12291" max="12350" width="0" style="618" hidden="1" customWidth="1"/>
    <col min="12351" max="12370" width="7.7109375" style="618" customWidth="1"/>
    <col min="12371" max="12544" width="9.140625" style="618"/>
    <col min="12545" max="12545" width="38.42578125" style="618" customWidth="1"/>
    <col min="12546" max="12546" width="12.85546875" style="618" customWidth="1"/>
    <col min="12547" max="12606" width="0" style="618" hidden="1" customWidth="1"/>
    <col min="12607" max="12626" width="7.7109375" style="618" customWidth="1"/>
    <col min="12627" max="12800" width="9.140625" style="618"/>
    <col min="12801" max="12801" width="38.42578125" style="618" customWidth="1"/>
    <col min="12802" max="12802" width="12.85546875" style="618" customWidth="1"/>
    <col min="12803" max="12862" width="0" style="618" hidden="1" customWidth="1"/>
    <col min="12863" max="12882" width="7.7109375" style="618" customWidth="1"/>
    <col min="12883" max="13056" width="9.140625" style="618"/>
    <col min="13057" max="13057" width="38.42578125" style="618" customWidth="1"/>
    <col min="13058" max="13058" width="12.85546875" style="618" customWidth="1"/>
    <col min="13059" max="13118" width="0" style="618" hidden="1" customWidth="1"/>
    <col min="13119" max="13138" width="7.7109375" style="618" customWidth="1"/>
    <col min="13139" max="13312" width="9.140625" style="618"/>
    <col min="13313" max="13313" width="38.42578125" style="618" customWidth="1"/>
    <col min="13314" max="13314" width="12.85546875" style="618" customWidth="1"/>
    <col min="13315" max="13374" width="0" style="618" hidden="1" customWidth="1"/>
    <col min="13375" max="13394" width="7.7109375" style="618" customWidth="1"/>
    <col min="13395" max="13568" width="9.140625" style="618"/>
    <col min="13569" max="13569" width="38.42578125" style="618" customWidth="1"/>
    <col min="13570" max="13570" width="12.85546875" style="618" customWidth="1"/>
    <col min="13571" max="13630" width="0" style="618" hidden="1" customWidth="1"/>
    <col min="13631" max="13650" width="7.7109375" style="618" customWidth="1"/>
    <col min="13651" max="13824" width="9.140625" style="618"/>
    <col min="13825" max="13825" width="38.42578125" style="618" customWidth="1"/>
    <col min="13826" max="13826" width="12.85546875" style="618" customWidth="1"/>
    <col min="13827" max="13886" width="0" style="618" hidden="1" customWidth="1"/>
    <col min="13887" max="13906" width="7.7109375" style="618" customWidth="1"/>
    <col min="13907" max="14080" width="9.140625" style="618"/>
    <col min="14081" max="14081" width="38.42578125" style="618" customWidth="1"/>
    <col min="14082" max="14082" width="12.85546875" style="618" customWidth="1"/>
    <col min="14083" max="14142" width="0" style="618" hidden="1" customWidth="1"/>
    <col min="14143" max="14162" width="7.7109375" style="618" customWidth="1"/>
    <col min="14163" max="14336" width="9.140625" style="618"/>
    <col min="14337" max="14337" width="38.42578125" style="618" customWidth="1"/>
    <col min="14338" max="14338" width="12.85546875" style="618" customWidth="1"/>
    <col min="14339" max="14398" width="0" style="618" hidden="1" customWidth="1"/>
    <col min="14399" max="14418" width="7.7109375" style="618" customWidth="1"/>
    <col min="14419" max="14592" width="9.140625" style="618"/>
    <col min="14593" max="14593" width="38.42578125" style="618" customWidth="1"/>
    <col min="14594" max="14594" width="12.85546875" style="618" customWidth="1"/>
    <col min="14595" max="14654" width="0" style="618" hidden="1" customWidth="1"/>
    <col min="14655" max="14674" width="7.7109375" style="618" customWidth="1"/>
    <col min="14675" max="14848" width="9.140625" style="618"/>
    <col min="14849" max="14849" width="38.42578125" style="618" customWidth="1"/>
    <col min="14850" max="14850" width="12.85546875" style="618" customWidth="1"/>
    <col min="14851" max="14910" width="0" style="618" hidden="1" customWidth="1"/>
    <col min="14911" max="14930" width="7.7109375" style="618" customWidth="1"/>
    <col min="14931" max="15104" width="9.140625" style="618"/>
    <col min="15105" max="15105" width="38.42578125" style="618" customWidth="1"/>
    <col min="15106" max="15106" width="12.85546875" style="618" customWidth="1"/>
    <col min="15107" max="15166" width="0" style="618" hidden="1" customWidth="1"/>
    <col min="15167" max="15186" width="7.7109375" style="618" customWidth="1"/>
    <col min="15187" max="15360" width="9.140625" style="618"/>
    <col min="15361" max="15361" width="38.42578125" style="618" customWidth="1"/>
    <col min="15362" max="15362" width="12.85546875" style="618" customWidth="1"/>
    <col min="15363" max="15422" width="0" style="618" hidden="1" customWidth="1"/>
    <col min="15423" max="15442" width="7.7109375" style="618" customWidth="1"/>
    <col min="15443" max="15616" width="9.140625" style="618"/>
    <col min="15617" max="15617" width="38.42578125" style="618" customWidth="1"/>
    <col min="15618" max="15618" width="12.85546875" style="618" customWidth="1"/>
    <col min="15619" max="15678" width="0" style="618" hidden="1" customWidth="1"/>
    <col min="15679" max="15698" width="7.7109375" style="618" customWidth="1"/>
    <col min="15699" max="15872" width="9.140625" style="618"/>
    <col min="15873" max="15873" width="38.42578125" style="618" customWidth="1"/>
    <col min="15874" max="15874" width="12.85546875" style="618" customWidth="1"/>
    <col min="15875" max="15934" width="0" style="618" hidden="1" customWidth="1"/>
    <col min="15935" max="15954" width="7.7109375" style="618" customWidth="1"/>
    <col min="15955" max="16128" width="9.140625" style="618"/>
    <col min="16129" max="16129" width="38.42578125" style="618" customWidth="1"/>
    <col min="16130" max="16130" width="12.85546875" style="618" customWidth="1"/>
    <col min="16131" max="16190" width="0" style="618" hidden="1" customWidth="1"/>
    <col min="16191" max="16210" width="7.7109375" style="618" customWidth="1"/>
    <col min="16211" max="16384" width="9.140625" style="618"/>
  </cols>
  <sheetData>
    <row r="1" spans="1:98" ht="18">
      <c r="A1" s="1067" t="s">
        <v>0</v>
      </c>
      <c r="B1" s="1068"/>
    </row>
    <row r="2" spans="1:98" ht="15.75">
      <c r="A2" s="619" t="s">
        <v>653</v>
      </c>
      <c r="B2" s="620"/>
    </row>
    <row r="3" spans="1:98" ht="15.75" thickBot="1">
      <c r="A3" s="621" t="s">
        <v>1</v>
      </c>
      <c r="B3" s="622"/>
    </row>
    <row r="6" spans="1:98">
      <c r="BQ6" s="180" t="s">
        <v>2</v>
      </c>
      <c r="BR6" s="180" t="s">
        <v>2</v>
      </c>
      <c r="BS6" s="180" t="s">
        <v>2</v>
      </c>
      <c r="BT6" s="180" t="s">
        <v>2</v>
      </c>
      <c r="BU6" s="181" t="s">
        <v>3</v>
      </c>
      <c r="BV6" s="181" t="s">
        <v>3</v>
      </c>
      <c r="BW6" s="181" t="s">
        <v>3</v>
      </c>
      <c r="BX6" s="181" t="s">
        <v>3</v>
      </c>
      <c r="BY6" s="182" t="s">
        <v>4</v>
      </c>
      <c r="BZ6" s="182" t="s">
        <v>4</v>
      </c>
      <c r="CA6" s="182" t="s">
        <v>4</v>
      </c>
      <c r="CB6" s="182" t="s">
        <v>4</v>
      </c>
      <c r="CC6" s="624" t="s">
        <v>5</v>
      </c>
      <c r="CD6" s="624" t="s">
        <v>5</v>
      </c>
      <c r="CE6" s="624" t="s">
        <v>5</v>
      </c>
      <c r="CF6" s="624" t="s">
        <v>5</v>
      </c>
      <c r="CG6" s="625" t="s">
        <v>6</v>
      </c>
      <c r="CH6" s="625" t="s">
        <v>6</v>
      </c>
      <c r="CI6" s="625" t="s">
        <v>6</v>
      </c>
      <c r="CJ6" s="625" t="s">
        <v>6</v>
      </c>
    </row>
    <row r="7" spans="1:98" s="623" customFormat="1">
      <c r="B7" s="623" t="s">
        <v>7</v>
      </c>
      <c r="C7" s="626" t="s">
        <v>8</v>
      </c>
      <c r="D7" s="626" t="s">
        <v>9</v>
      </c>
      <c r="E7" s="626" t="s">
        <v>10</v>
      </c>
      <c r="F7" s="626" t="s">
        <v>11</v>
      </c>
      <c r="G7" s="626" t="s">
        <v>12</v>
      </c>
      <c r="H7" s="626" t="s">
        <v>13</v>
      </c>
      <c r="I7" s="626" t="s">
        <v>14</v>
      </c>
      <c r="J7" s="626" t="s">
        <v>15</v>
      </c>
      <c r="K7" s="626" t="s">
        <v>16</v>
      </c>
      <c r="L7" s="626" t="s">
        <v>17</v>
      </c>
      <c r="M7" s="626" t="s">
        <v>18</v>
      </c>
      <c r="N7" s="626" t="s">
        <v>19</v>
      </c>
      <c r="O7" s="626" t="s">
        <v>20</v>
      </c>
      <c r="P7" s="626" t="s">
        <v>21</v>
      </c>
      <c r="Q7" s="626" t="s">
        <v>22</v>
      </c>
      <c r="R7" s="626" t="s">
        <v>23</v>
      </c>
      <c r="S7" s="626" t="s">
        <v>24</v>
      </c>
      <c r="T7" s="626" t="s">
        <v>25</v>
      </c>
      <c r="U7" s="626" t="s">
        <v>26</v>
      </c>
      <c r="V7" s="626" t="s">
        <v>27</v>
      </c>
      <c r="W7" s="626" t="s">
        <v>28</v>
      </c>
      <c r="X7" s="626" t="s">
        <v>29</v>
      </c>
      <c r="Y7" s="626" t="s">
        <v>30</v>
      </c>
      <c r="Z7" s="626" t="s">
        <v>31</v>
      </c>
      <c r="AA7" s="626" t="s">
        <v>32</v>
      </c>
      <c r="AB7" s="626" t="s">
        <v>33</v>
      </c>
      <c r="AC7" s="626" t="s">
        <v>34</v>
      </c>
      <c r="AD7" s="626" t="s">
        <v>35</v>
      </c>
      <c r="AE7" s="626" t="s">
        <v>36</v>
      </c>
      <c r="AF7" s="626" t="s">
        <v>37</v>
      </c>
      <c r="AG7" s="626" t="s">
        <v>38</v>
      </c>
      <c r="AH7" s="626" t="s">
        <v>39</v>
      </c>
      <c r="AI7" s="626" t="s">
        <v>40</v>
      </c>
      <c r="AJ7" s="626" t="s">
        <v>41</v>
      </c>
      <c r="AK7" s="626" t="s">
        <v>42</v>
      </c>
      <c r="AL7" s="626" t="s">
        <v>43</v>
      </c>
      <c r="AM7" s="626" t="s">
        <v>44</v>
      </c>
      <c r="AN7" s="626" t="s">
        <v>45</v>
      </c>
      <c r="AO7" s="626" t="s">
        <v>46</v>
      </c>
      <c r="AP7" s="626" t="s">
        <v>47</v>
      </c>
      <c r="AQ7" s="626" t="s">
        <v>48</v>
      </c>
      <c r="AR7" s="626" t="s">
        <v>49</v>
      </c>
      <c r="AS7" s="626" t="s">
        <v>50</v>
      </c>
      <c r="AT7" s="626" t="s">
        <v>51</v>
      </c>
      <c r="AU7" s="623" t="s">
        <v>52</v>
      </c>
      <c r="AV7" s="623" t="s">
        <v>53</v>
      </c>
      <c r="AW7" s="623" t="s">
        <v>54</v>
      </c>
      <c r="AX7" s="623" t="s">
        <v>55</v>
      </c>
      <c r="AY7" s="623" t="s">
        <v>56</v>
      </c>
      <c r="AZ7" s="623" t="s">
        <v>57</v>
      </c>
      <c r="BA7" s="623" t="s">
        <v>58</v>
      </c>
      <c r="BB7" s="623" t="s">
        <v>59</v>
      </c>
      <c r="BC7" s="623" t="s">
        <v>60</v>
      </c>
      <c r="BD7" s="623" t="s">
        <v>61</v>
      </c>
      <c r="BE7" s="623" t="s">
        <v>62</v>
      </c>
      <c r="BF7" s="623" t="s">
        <v>63</v>
      </c>
      <c r="BG7" s="623" t="s">
        <v>64</v>
      </c>
      <c r="BH7" s="623" t="s">
        <v>65</v>
      </c>
      <c r="BI7" s="623" t="s">
        <v>66</v>
      </c>
      <c r="BJ7" s="623" t="s">
        <v>67</v>
      </c>
      <c r="BK7" s="623" t="s">
        <v>68</v>
      </c>
      <c r="BL7" s="623" t="s">
        <v>69</v>
      </c>
      <c r="BM7" s="623" t="s">
        <v>70</v>
      </c>
      <c r="BN7" s="623" t="s">
        <v>71</v>
      </c>
      <c r="BO7" s="623" t="s">
        <v>72</v>
      </c>
      <c r="BP7" s="623" t="s">
        <v>73</v>
      </c>
      <c r="BQ7" s="623" t="s">
        <v>74</v>
      </c>
      <c r="BR7" s="623" t="s">
        <v>75</v>
      </c>
      <c r="BS7" s="623" t="s">
        <v>76</v>
      </c>
      <c r="BT7" s="623" t="s">
        <v>77</v>
      </c>
      <c r="BU7" s="623" t="s">
        <v>78</v>
      </c>
      <c r="BV7" s="623" t="s">
        <v>79</v>
      </c>
      <c r="BW7" s="623" t="s">
        <v>80</v>
      </c>
      <c r="BX7" s="623" t="s">
        <v>81</v>
      </c>
      <c r="BY7" s="623" t="s">
        <v>82</v>
      </c>
      <c r="BZ7" s="623" t="s">
        <v>83</v>
      </c>
      <c r="CA7" s="623" t="s">
        <v>84</v>
      </c>
      <c r="CB7" s="623" t="s">
        <v>85</v>
      </c>
      <c r="CC7" s="623" t="s">
        <v>86</v>
      </c>
      <c r="CD7" s="623" t="s">
        <v>87</v>
      </c>
      <c r="CE7" s="623" t="s">
        <v>88</v>
      </c>
      <c r="CF7" s="623" t="s">
        <v>89</v>
      </c>
      <c r="CG7" s="623" t="s">
        <v>90</v>
      </c>
      <c r="CH7" s="623" t="s">
        <v>91</v>
      </c>
      <c r="CI7" s="623" t="s">
        <v>92</v>
      </c>
      <c r="CJ7" s="623" t="s">
        <v>93</v>
      </c>
      <c r="CK7" s="623" t="s">
        <v>94</v>
      </c>
      <c r="CL7" s="623" t="s">
        <v>95</v>
      </c>
      <c r="CM7" s="623" t="s">
        <v>654</v>
      </c>
      <c r="CN7" s="623" t="s">
        <v>655</v>
      </c>
      <c r="CO7" s="623" t="s">
        <v>656</v>
      </c>
      <c r="CP7" s="623" t="s">
        <v>657</v>
      </c>
      <c r="CQ7" s="623" t="s">
        <v>658</v>
      </c>
      <c r="CR7" s="623" t="s">
        <v>659</v>
      </c>
      <c r="CS7" s="623" t="s">
        <v>660</v>
      </c>
      <c r="CT7" s="623" t="s">
        <v>661</v>
      </c>
    </row>
    <row r="8" spans="1:98">
      <c r="A8" s="623" t="s">
        <v>96</v>
      </c>
      <c r="B8" s="623" t="s">
        <v>97</v>
      </c>
      <c r="C8" s="627">
        <v>2.03516971038266</v>
      </c>
      <c r="D8" s="627">
        <v>2.0603243586248499</v>
      </c>
      <c r="E8" s="627">
        <v>2.0653694065802699</v>
      </c>
      <c r="F8" s="627">
        <v>2.0874807762832099</v>
      </c>
      <c r="G8" s="627">
        <v>2.1050400482010199</v>
      </c>
      <c r="H8" s="627">
        <v>2.1154192603458899</v>
      </c>
      <c r="I8" s="627">
        <v>2.1518068200870601</v>
      </c>
      <c r="J8" s="627">
        <v>2.1707783725541501</v>
      </c>
      <c r="K8" s="627">
        <v>2.18783691981761</v>
      </c>
      <c r="L8" s="627">
        <v>2.2132586941521701</v>
      </c>
      <c r="M8" s="627">
        <v>2.2359257447920902</v>
      </c>
      <c r="N8" s="627">
        <v>2.2211869184724802</v>
      </c>
      <c r="O8" s="627">
        <v>2.2326241842019399</v>
      </c>
      <c r="P8" s="627">
        <v>2.25901750728924</v>
      </c>
      <c r="Q8" s="627">
        <v>2.2765164106308</v>
      </c>
      <c r="R8" s="627">
        <v>2.30291395940545</v>
      </c>
      <c r="S8" s="627">
        <v>2.3203732479405201</v>
      </c>
      <c r="T8" s="627">
        <v>2.3642172164480799</v>
      </c>
      <c r="U8" s="627">
        <v>2.4053168355103001</v>
      </c>
      <c r="V8" s="627">
        <v>2.3519755124970101</v>
      </c>
      <c r="W8" s="627">
        <v>2.3408422306286298</v>
      </c>
      <c r="X8" s="627">
        <v>2.3474188487574099</v>
      </c>
      <c r="Y8" s="627">
        <v>2.36722788639723</v>
      </c>
      <c r="Z8" s="627">
        <v>2.38170796623861</v>
      </c>
      <c r="AA8" s="627">
        <v>2.37977560548517</v>
      </c>
      <c r="AB8" s="627">
        <v>2.3845469305921401</v>
      </c>
      <c r="AC8" s="627">
        <v>2.3990494738484398</v>
      </c>
      <c r="AD8" s="627">
        <v>2.4227910394257499</v>
      </c>
      <c r="AE8" s="627">
        <v>2.4330498565991299</v>
      </c>
      <c r="AF8" s="627">
        <v>2.4782592908991101</v>
      </c>
      <c r="AG8" s="627">
        <v>2.48958598393371</v>
      </c>
      <c r="AH8" s="627">
        <v>2.4982528033804701</v>
      </c>
      <c r="AI8" s="627">
        <v>2.5146494553159999</v>
      </c>
      <c r="AJ8" s="627">
        <v>2.52107076869803</v>
      </c>
      <c r="AK8" s="627">
        <v>2.5313114193711401</v>
      </c>
      <c r="AL8" s="627">
        <v>2.5519818070473299</v>
      </c>
      <c r="AM8" s="627">
        <v>2.5588970948066301</v>
      </c>
      <c r="AN8" s="627">
        <v>2.5563607318916199</v>
      </c>
      <c r="AO8" s="627">
        <v>2.5757018498037501</v>
      </c>
      <c r="AP8" s="627">
        <v>2.5903118852466198</v>
      </c>
      <c r="AQ8" s="627">
        <v>2.5984834377108701</v>
      </c>
      <c r="AR8" s="627">
        <v>2.6097667453760698</v>
      </c>
      <c r="AS8" s="627">
        <v>2.6162580136308198</v>
      </c>
      <c r="AT8" s="627">
        <v>2.6185435816407101</v>
      </c>
      <c r="AU8" s="627">
        <v>2.6130742036410601</v>
      </c>
      <c r="AV8" s="627">
        <v>2.6248654931503501</v>
      </c>
      <c r="AW8" s="627">
        <v>2.6210903132751202</v>
      </c>
      <c r="AX8" s="627">
        <v>2.62812001494735</v>
      </c>
      <c r="AY8" s="627">
        <v>2.6195672059792101</v>
      </c>
      <c r="AZ8" s="627">
        <v>2.6445845101286198</v>
      </c>
      <c r="BA8" s="627">
        <v>2.6645119184811499</v>
      </c>
      <c r="BB8" s="627">
        <v>2.6793127669589998</v>
      </c>
      <c r="BC8" s="627">
        <v>2.69196801581622</v>
      </c>
      <c r="BD8" s="627">
        <v>2.6963999173151398</v>
      </c>
      <c r="BE8" s="627">
        <v>2.70820199309592</v>
      </c>
      <c r="BF8" s="627">
        <v>2.7228199938442401</v>
      </c>
      <c r="BG8" s="627">
        <v>2.7581855200157999</v>
      </c>
      <c r="BH8" s="627">
        <v>2.7725868388914199</v>
      </c>
      <c r="BI8" s="627">
        <v>2.7794261240196301</v>
      </c>
      <c r="BJ8" s="627">
        <v>2.79252284616837</v>
      </c>
      <c r="BK8" s="627">
        <v>2.80204068249218</v>
      </c>
      <c r="BL8" s="627">
        <v>2.8122450644763202</v>
      </c>
      <c r="BM8" s="627">
        <v>2.8300584393122699</v>
      </c>
      <c r="BN8" s="627">
        <v>2.84208162724111</v>
      </c>
      <c r="BO8" s="627">
        <v>2.8551686160991401</v>
      </c>
      <c r="BP8" s="627">
        <v>2.8532778182259202</v>
      </c>
      <c r="BQ8" s="627">
        <v>2.8766732544002802</v>
      </c>
      <c r="BR8" s="627">
        <v>2.8982648495135899</v>
      </c>
      <c r="BS8" s="627">
        <v>2.9160216774221999</v>
      </c>
      <c r="BT8" s="627">
        <v>2.9654626403941302</v>
      </c>
      <c r="BU8" s="627">
        <v>3.0081548337632902</v>
      </c>
      <c r="BV8" s="627">
        <v>3.0630482422248799</v>
      </c>
      <c r="BW8" s="627">
        <v>3.1259030163817498</v>
      </c>
      <c r="BX8" s="627">
        <v>3.2014215237569101</v>
      </c>
      <c r="BY8" s="627">
        <v>3.2421852795932899</v>
      </c>
      <c r="BZ8" s="627">
        <v>3.28097034676113</v>
      </c>
      <c r="CA8" s="627">
        <v>3.3147673493876102</v>
      </c>
      <c r="CB8" s="627">
        <v>3.3342442670690202</v>
      </c>
      <c r="CC8" s="627">
        <v>3.3575240050477801</v>
      </c>
      <c r="CD8" s="627">
        <v>3.3819769082909898</v>
      </c>
      <c r="CE8" s="627">
        <v>3.4050737208242499</v>
      </c>
      <c r="CF8" s="627">
        <v>3.4235125377062201</v>
      </c>
      <c r="CG8" s="627">
        <v>3.4450513542515901</v>
      </c>
      <c r="CH8" s="627">
        <v>3.46875440874557</v>
      </c>
      <c r="CI8" s="627">
        <v>3.4882052868706701</v>
      </c>
      <c r="CJ8" s="627">
        <v>3.5079404569764301</v>
      </c>
      <c r="CK8" s="627">
        <v>3.52720160365971</v>
      </c>
      <c r="CL8" s="627">
        <v>3.5476099886222801</v>
      </c>
      <c r="CM8" s="627">
        <v>3.56843780489451</v>
      </c>
      <c r="CN8" s="627">
        <v>3.5885155982193702</v>
      </c>
      <c r="CO8" s="627">
        <v>3.6085155243706</v>
      </c>
      <c r="CP8" s="627">
        <v>3.6288578979966402</v>
      </c>
      <c r="CQ8" s="627">
        <v>3.6502636785569198</v>
      </c>
      <c r="CR8" s="627">
        <v>3.6714830563818301</v>
      </c>
      <c r="CS8" s="627">
        <v>3.6917467571563201</v>
      </c>
      <c r="CT8" s="627">
        <v>3.7124949401037699</v>
      </c>
    </row>
    <row r="9" spans="1:98">
      <c r="A9" s="623" t="s">
        <v>98</v>
      </c>
      <c r="B9" s="623" t="s">
        <v>99</v>
      </c>
      <c r="C9" s="627">
        <v>2.03516971038266</v>
      </c>
      <c r="D9" s="627">
        <v>2.0603243586248499</v>
      </c>
      <c r="E9" s="627">
        <v>2.0653694065802699</v>
      </c>
      <c r="F9" s="627">
        <v>2.0874807762832099</v>
      </c>
      <c r="G9" s="627">
        <v>2.1050400482010199</v>
      </c>
      <c r="H9" s="627">
        <v>2.1154192603458899</v>
      </c>
      <c r="I9" s="627">
        <v>2.1518068200870601</v>
      </c>
      <c r="J9" s="627">
        <v>2.1707783725541501</v>
      </c>
      <c r="K9" s="627">
        <v>2.18783691981761</v>
      </c>
      <c r="L9" s="627">
        <v>2.2132586941521701</v>
      </c>
      <c r="M9" s="627">
        <v>2.2359257447920902</v>
      </c>
      <c r="N9" s="627">
        <v>2.2211869184724802</v>
      </c>
      <c r="O9" s="627">
        <v>2.2326241842019399</v>
      </c>
      <c r="P9" s="627">
        <v>2.25901750728924</v>
      </c>
      <c r="Q9" s="627">
        <v>2.2765164106308</v>
      </c>
      <c r="R9" s="627">
        <v>2.30291395940545</v>
      </c>
      <c r="S9" s="627">
        <v>2.3203732479405201</v>
      </c>
      <c r="T9" s="627">
        <v>2.3642172164480799</v>
      </c>
      <c r="U9" s="627">
        <v>2.4053168355103001</v>
      </c>
      <c r="V9" s="627">
        <v>2.3519755124970101</v>
      </c>
      <c r="W9" s="627">
        <v>2.3408422306286298</v>
      </c>
      <c r="X9" s="627">
        <v>2.3474188487574099</v>
      </c>
      <c r="Y9" s="627">
        <v>2.36722788639723</v>
      </c>
      <c r="Z9" s="627">
        <v>2.38170796623861</v>
      </c>
      <c r="AA9" s="627">
        <v>2.37977560548517</v>
      </c>
      <c r="AB9" s="627">
        <v>2.3845469305921401</v>
      </c>
      <c r="AC9" s="627">
        <v>2.3990494738484398</v>
      </c>
      <c r="AD9" s="627">
        <v>2.4227910394257499</v>
      </c>
      <c r="AE9" s="627">
        <v>2.4330498565991299</v>
      </c>
      <c r="AF9" s="627">
        <v>2.4782592908991101</v>
      </c>
      <c r="AG9" s="627">
        <v>2.48958598393371</v>
      </c>
      <c r="AH9" s="627">
        <v>2.4982528033804701</v>
      </c>
      <c r="AI9" s="627">
        <v>2.5146494553159999</v>
      </c>
      <c r="AJ9" s="627">
        <v>2.52107076869803</v>
      </c>
      <c r="AK9" s="627">
        <v>2.5313114193711401</v>
      </c>
      <c r="AL9" s="627">
        <v>2.5519818070473299</v>
      </c>
      <c r="AM9" s="627">
        <v>2.5588970948066301</v>
      </c>
      <c r="AN9" s="627">
        <v>2.5563607318916199</v>
      </c>
      <c r="AO9" s="627">
        <v>2.5757018498037501</v>
      </c>
      <c r="AP9" s="627">
        <v>2.5903118852466198</v>
      </c>
      <c r="AQ9" s="627">
        <v>2.5984834377108701</v>
      </c>
      <c r="AR9" s="627">
        <v>2.6097667453760698</v>
      </c>
      <c r="AS9" s="627">
        <v>2.6162580136308198</v>
      </c>
      <c r="AT9" s="627">
        <v>2.6185435816407101</v>
      </c>
      <c r="AU9" s="627">
        <v>2.6130742036410601</v>
      </c>
      <c r="AV9" s="627">
        <v>2.6248654931503501</v>
      </c>
      <c r="AW9" s="627">
        <v>2.6210903132751202</v>
      </c>
      <c r="AX9" s="627">
        <v>2.62812001494735</v>
      </c>
      <c r="AY9" s="627">
        <v>2.6195672059792101</v>
      </c>
      <c r="AZ9" s="627">
        <v>2.6445845101286198</v>
      </c>
      <c r="BA9" s="627">
        <v>2.6645119184811499</v>
      </c>
      <c r="BB9" s="627">
        <v>2.6793127669589998</v>
      </c>
      <c r="BC9" s="627">
        <v>2.69196801581622</v>
      </c>
      <c r="BD9" s="627">
        <v>2.6963999173151398</v>
      </c>
      <c r="BE9" s="627">
        <v>2.70820199309592</v>
      </c>
      <c r="BF9" s="627">
        <v>2.7228199938442401</v>
      </c>
      <c r="BG9" s="627">
        <v>2.7581855200157999</v>
      </c>
      <c r="BH9" s="627">
        <v>2.7725868388914199</v>
      </c>
      <c r="BI9" s="627">
        <v>2.7794261240196301</v>
      </c>
      <c r="BJ9" s="627">
        <v>2.79252284616837</v>
      </c>
      <c r="BK9" s="627">
        <v>2.80204068249218</v>
      </c>
      <c r="BL9" s="627">
        <v>2.8122450644763202</v>
      </c>
      <c r="BM9" s="627">
        <v>2.8300584393122699</v>
      </c>
      <c r="BN9" s="627">
        <v>2.84208162724111</v>
      </c>
      <c r="BO9" s="627">
        <v>2.8551686160991401</v>
      </c>
      <c r="BP9" s="627">
        <v>2.8532778182259202</v>
      </c>
      <c r="BQ9" s="627">
        <v>2.8766732544002802</v>
      </c>
      <c r="BR9" s="627">
        <v>2.8982648495135899</v>
      </c>
      <c r="BS9" s="627">
        <v>2.9160216774221999</v>
      </c>
      <c r="BT9" s="627">
        <v>2.9654626403941302</v>
      </c>
      <c r="BU9" s="627">
        <v>3.0081548337632902</v>
      </c>
      <c r="BV9" s="627">
        <v>3.0630482422248799</v>
      </c>
      <c r="BW9" s="627">
        <v>3.1259030163817498</v>
      </c>
      <c r="BX9" s="627">
        <v>3.2014215237569101</v>
      </c>
      <c r="BY9" s="627">
        <v>3.2255363055134101</v>
      </c>
      <c r="BZ9" s="627">
        <v>3.2598916230874599</v>
      </c>
      <c r="CA9" s="627">
        <v>3.2891346677534301</v>
      </c>
      <c r="CB9" s="627">
        <v>3.30621025530152</v>
      </c>
      <c r="CC9" s="627">
        <v>3.3272304548242801</v>
      </c>
      <c r="CD9" s="627">
        <v>3.3506000676307002</v>
      </c>
      <c r="CE9" s="627">
        <v>3.3713855548821599</v>
      </c>
      <c r="CF9" s="627">
        <v>3.3883014039568402</v>
      </c>
      <c r="CG9" s="627">
        <v>3.4080858525713902</v>
      </c>
      <c r="CH9" s="627">
        <v>3.42941797508669</v>
      </c>
      <c r="CI9" s="627">
        <v>3.4464785567767202</v>
      </c>
      <c r="CJ9" s="627">
        <v>3.46378925221474</v>
      </c>
      <c r="CK9" s="627">
        <v>3.4809094361872699</v>
      </c>
      <c r="CL9" s="627">
        <v>3.4992140517661001</v>
      </c>
      <c r="CM9" s="627">
        <v>3.5178797103848898</v>
      </c>
      <c r="CN9" s="627">
        <v>3.53579934508278</v>
      </c>
      <c r="CO9" s="627">
        <v>3.5537903995520801</v>
      </c>
      <c r="CP9" s="627">
        <v>3.5722371267770701</v>
      </c>
      <c r="CQ9" s="627">
        <v>3.5919469703646798</v>
      </c>
      <c r="CR9" s="627">
        <v>3.6114642330203099</v>
      </c>
      <c r="CS9" s="627">
        <v>3.6300819400814999</v>
      </c>
      <c r="CT9" s="627">
        <v>3.6492439952051701</v>
      </c>
    </row>
    <row r="10" spans="1:98">
      <c r="A10" s="623" t="s">
        <v>100</v>
      </c>
      <c r="B10" s="623" t="s">
        <v>101</v>
      </c>
      <c r="C10" s="627">
        <v>2.03516971038266</v>
      </c>
      <c r="D10" s="627">
        <v>2.0603243586248499</v>
      </c>
      <c r="E10" s="627">
        <v>2.0653694065802699</v>
      </c>
      <c r="F10" s="627">
        <v>2.0874807762832099</v>
      </c>
      <c r="G10" s="627">
        <v>2.1050400482010199</v>
      </c>
      <c r="H10" s="627">
        <v>2.1154192603458899</v>
      </c>
      <c r="I10" s="627">
        <v>2.1518068200870601</v>
      </c>
      <c r="J10" s="627">
        <v>2.1707783725541501</v>
      </c>
      <c r="K10" s="627">
        <v>2.18783691981761</v>
      </c>
      <c r="L10" s="627">
        <v>2.2132586941521701</v>
      </c>
      <c r="M10" s="627">
        <v>2.2359257447920902</v>
      </c>
      <c r="N10" s="627">
        <v>2.2211869184724802</v>
      </c>
      <c r="O10" s="627">
        <v>2.2326241842019399</v>
      </c>
      <c r="P10" s="627">
        <v>2.25901750728924</v>
      </c>
      <c r="Q10" s="627">
        <v>2.2765164106308</v>
      </c>
      <c r="R10" s="627">
        <v>2.30291395940545</v>
      </c>
      <c r="S10" s="627">
        <v>2.3203732479405201</v>
      </c>
      <c r="T10" s="627">
        <v>2.3642172164480799</v>
      </c>
      <c r="U10" s="627">
        <v>2.4053168355103001</v>
      </c>
      <c r="V10" s="627">
        <v>2.3519755124970101</v>
      </c>
      <c r="W10" s="627">
        <v>2.3408422306286298</v>
      </c>
      <c r="X10" s="627">
        <v>2.3474188487574099</v>
      </c>
      <c r="Y10" s="627">
        <v>2.36722788639723</v>
      </c>
      <c r="Z10" s="627">
        <v>2.38170796623861</v>
      </c>
      <c r="AA10" s="627">
        <v>2.37977560548517</v>
      </c>
      <c r="AB10" s="627">
        <v>2.3845469305921401</v>
      </c>
      <c r="AC10" s="627">
        <v>2.3990494738484398</v>
      </c>
      <c r="AD10" s="627">
        <v>2.4227910394257499</v>
      </c>
      <c r="AE10" s="627">
        <v>2.4330498565991299</v>
      </c>
      <c r="AF10" s="627">
        <v>2.4782592908991101</v>
      </c>
      <c r="AG10" s="627">
        <v>2.48958598393371</v>
      </c>
      <c r="AH10" s="627">
        <v>2.4982528033804701</v>
      </c>
      <c r="AI10" s="627">
        <v>2.5146494553159999</v>
      </c>
      <c r="AJ10" s="627">
        <v>2.52107076869803</v>
      </c>
      <c r="AK10" s="627">
        <v>2.5313114193711401</v>
      </c>
      <c r="AL10" s="627">
        <v>2.5519818070473299</v>
      </c>
      <c r="AM10" s="627">
        <v>2.5588970948066301</v>
      </c>
      <c r="AN10" s="627">
        <v>2.5563607318916199</v>
      </c>
      <c r="AO10" s="627">
        <v>2.5757018498037501</v>
      </c>
      <c r="AP10" s="627">
        <v>2.5903118852466198</v>
      </c>
      <c r="AQ10" s="627">
        <v>2.5984834377108701</v>
      </c>
      <c r="AR10" s="627">
        <v>2.6097667453760698</v>
      </c>
      <c r="AS10" s="627">
        <v>2.6162580136308198</v>
      </c>
      <c r="AT10" s="627">
        <v>2.6185435816407101</v>
      </c>
      <c r="AU10" s="627">
        <v>2.6130742036410601</v>
      </c>
      <c r="AV10" s="627">
        <v>2.6248654931503501</v>
      </c>
      <c r="AW10" s="627">
        <v>2.6210903132751202</v>
      </c>
      <c r="AX10" s="627">
        <v>2.62812001494735</v>
      </c>
      <c r="AY10" s="627">
        <v>2.6195672059792101</v>
      </c>
      <c r="AZ10" s="627">
        <v>2.6445845101286198</v>
      </c>
      <c r="BA10" s="627">
        <v>2.6645119184811499</v>
      </c>
      <c r="BB10" s="627">
        <v>2.6793127669589998</v>
      </c>
      <c r="BC10" s="627">
        <v>2.69196801581622</v>
      </c>
      <c r="BD10" s="627">
        <v>2.6963999173151398</v>
      </c>
      <c r="BE10" s="627">
        <v>2.70820199309592</v>
      </c>
      <c r="BF10" s="627">
        <v>2.7228199938442401</v>
      </c>
      <c r="BG10" s="627">
        <v>2.7581855200157999</v>
      </c>
      <c r="BH10" s="627">
        <v>2.7725868388914199</v>
      </c>
      <c r="BI10" s="627">
        <v>2.7794261240196301</v>
      </c>
      <c r="BJ10" s="627">
        <v>2.79252284616837</v>
      </c>
      <c r="BK10" s="627">
        <v>2.80204068249218</v>
      </c>
      <c r="BL10" s="627">
        <v>2.8122450644763202</v>
      </c>
      <c r="BM10" s="627">
        <v>2.8300584393122699</v>
      </c>
      <c r="BN10" s="627">
        <v>2.84208162724111</v>
      </c>
      <c r="BO10" s="627">
        <v>2.8551686160991401</v>
      </c>
      <c r="BP10" s="627">
        <v>2.8532778182259202</v>
      </c>
      <c r="BQ10" s="627">
        <v>2.8766732544002802</v>
      </c>
      <c r="BR10" s="627">
        <v>2.8982648495135899</v>
      </c>
      <c r="BS10" s="627">
        <v>2.9160216774221999</v>
      </c>
      <c r="BT10" s="627">
        <v>2.9654626403941302</v>
      </c>
      <c r="BU10" s="627">
        <v>3.0081548337632902</v>
      </c>
      <c r="BV10" s="627">
        <v>3.0630482422248799</v>
      </c>
      <c r="BW10" s="627">
        <v>3.1259030163817498</v>
      </c>
      <c r="BX10" s="627">
        <v>3.2014215237569101</v>
      </c>
      <c r="BY10" s="627">
        <v>3.2538360600876799</v>
      </c>
      <c r="BZ10" s="627">
        <v>3.3031965097870799</v>
      </c>
      <c r="CA10" s="627">
        <v>3.3480395194667398</v>
      </c>
      <c r="CB10" s="627">
        <v>3.3772072582577199</v>
      </c>
      <c r="CC10" s="627">
        <v>3.4094675504554299</v>
      </c>
      <c r="CD10" s="627">
        <v>3.4424749536492398</v>
      </c>
      <c r="CE10" s="627">
        <v>3.4743211894451802</v>
      </c>
      <c r="CF10" s="627">
        <v>3.5006039732964802</v>
      </c>
      <c r="CG10" s="627">
        <v>3.5303989876569202</v>
      </c>
      <c r="CH10" s="627">
        <v>3.5628674447020598</v>
      </c>
      <c r="CI10" s="627">
        <v>3.5914669049492498</v>
      </c>
      <c r="CJ10" s="627">
        <v>3.6209181772272898</v>
      </c>
      <c r="CK10" s="627">
        <v>3.6499561132707901</v>
      </c>
      <c r="CL10" s="627">
        <v>3.6803370088943401</v>
      </c>
      <c r="CM10" s="627">
        <v>3.7115944324369101</v>
      </c>
      <c r="CN10" s="627">
        <v>3.7424449232069499</v>
      </c>
      <c r="CO10" s="627">
        <v>3.7735168503534799</v>
      </c>
      <c r="CP10" s="627">
        <v>3.8051953825342602</v>
      </c>
      <c r="CQ10" s="627">
        <v>3.8381085422962502</v>
      </c>
      <c r="CR10" s="627">
        <v>3.8709313876845499</v>
      </c>
      <c r="CS10" s="627">
        <v>3.9029692393289599</v>
      </c>
      <c r="CT10" s="627">
        <v>3.9358493172804301</v>
      </c>
    </row>
    <row r="12" spans="1:98">
      <c r="C12" s="628"/>
      <c r="D12" s="628"/>
      <c r="E12" s="628"/>
      <c r="F12" s="628"/>
      <c r="G12" s="628"/>
      <c r="H12" s="628"/>
      <c r="I12" s="628"/>
      <c r="J12" s="628"/>
      <c r="K12" s="628"/>
      <c r="L12" s="628"/>
      <c r="M12" s="628"/>
      <c r="N12" s="628"/>
      <c r="O12" s="628"/>
      <c r="P12" s="628"/>
      <c r="Q12" s="628"/>
      <c r="R12" s="628"/>
      <c r="S12" s="628"/>
      <c r="T12" s="628"/>
      <c r="U12" s="628"/>
      <c r="V12" s="628"/>
      <c r="W12" s="628"/>
      <c r="X12" s="628"/>
      <c r="Y12" s="628"/>
      <c r="Z12" s="628"/>
      <c r="AA12" s="628"/>
      <c r="AB12" s="628"/>
      <c r="AC12" s="628"/>
      <c r="AD12" s="628"/>
      <c r="AE12" s="628"/>
      <c r="AF12" s="628"/>
      <c r="AG12" s="628"/>
      <c r="AH12" s="628"/>
      <c r="AI12" s="628"/>
      <c r="AJ12" s="628"/>
      <c r="AK12" s="628"/>
      <c r="AL12" s="628"/>
      <c r="AM12" s="628"/>
      <c r="AN12" s="628"/>
      <c r="AO12" s="628"/>
      <c r="AP12" s="628"/>
      <c r="AQ12" s="628"/>
      <c r="AR12" s="628"/>
      <c r="AS12" s="628"/>
      <c r="AT12" s="628"/>
    </row>
    <row r="13" spans="1:98">
      <c r="C13" s="628"/>
      <c r="D13" s="628"/>
      <c r="E13" s="628"/>
      <c r="F13" s="628"/>
      <c r="G13" s="628"/>
      <c r="H13" s="628"/>
      <c r="I13" s="628"/>
      <c r="J13" s="628"/>
      <c r="K13" s="628"/>
      <c r="L13" s="628"/>
      <c r="M13" s="628"/>
      <c r="N13" s="628"/>
      <c r="O13" s="628"/>
      <c r="P13" s="628"/>
      <c r="Q13" s="628"/>
      <c r="R13" s="628"/>
      <c r="S13" s="628"/>
      <c r="T13" s="628"/>
      <c r="U13" s="628"/>
      <c r="V13" s="628"/>
      <c r="W13" s="628"/>
      <c r="X13" s="628"/>
      <c r="Y13" s="628"/>
      <c r="Z13" s="628"/>
      <c r="AA13" s="628"/>
      <c r="AB13" s="628"/>
      <c r="AC13" s="628"/>
      <c r="AD13" s="628"/>
      <c r="AE13" s="628"/>
      <c r="AF13" s="628"/>
      <c r="AG13" s="628"/>
      <c r="AH13" s="628"/>
      <c r="AI13" s="628"/>
      <c r="AJ13" s="628"/>
      <c r="AK13" s="628"/>
      <c r="AL13" s="628"/>
      <c r="AM13" s="628"/>
      <c r="AN13" s="628"/>
      <c r="AO13" s="628"/>
      <c r="AP13" s="628"/>
      <c r="AQ13" s="628"/>
      <c r="AR13" s="628"/>
      <c r="AS13" s="628"/>
      <c r="AT13" s="628"/>
    </row>
    <row r="14" spans="1:98">
      <c r="C14" s="627"/>
      <c r="D14" s="627"/>
      <c r="E14" s="627"/>
      <c r="F14" s="627"/>
      <c r="G14" s="627"/>
      <c r="H14" s="627"/>
      <c r="I14" s="627"/>
      <c r="J14" s="627"/>
      <c r="K14" s="627"/>
      <c r="L14" s="627"/>
      <c r="M14" s="627"/>
      <c r="N14" s="627"/>
      <c r="O14" s="627"/>
      <c r="P14" s="627"/>
      <c r="Q14" s="627"/>
      <c r="R14" s="627"/>
      <c r="S14" s="627"/>
      <c r="T14" s="627"/>
      <c r="U14" s="627"/>
      <c r="V14" s="627"/>
      <c r="W14" s="627"/>
      <c r="X14" s="627"/>
      <c r="Y14" s="627"/>
      <c r="Z14" s="627"/>
      <c r="AA14" s="627"/>
      <c r="AB14" s="627"/>
      <c r="AC14" s="627"/>
      <c r="AD14" s="627"/>
      <c r="AE14" s="627"/>
      <c r="AF14" s="627"/>
      <c r="AG14" s="627"/>
      <c r="AH14" s="627"/>
      <c r="AI14" s="627"/>
      <c r="AJ14" s="627"/>
      <c r="AK14" s="627"/>
      <c r="AL14" s="627"/>
      <c r="AM14" s="627"/>
      <c r="AN14" s="627"/>
      <c r="AO14" s="627"/>
      <c r="AP14" s="627"/>
      <c r="AQ14" s="627"/>
      <c r="AR14" s="627"/>
      <c r="AS14" s="627"/>
      <c r="AT14" s="627"/>
      <c r="BX14" s="950" t="s">
        <v>102</v>
      </c>
      <c r="BY14" s="951"/>
      <c r="BZ14" s="951"/>
      <c r="CA14" s="952" t="s">
        <v>662</v>
      </c>
      <c r="CB14" s="953"/>
      <c r="CC14" s="953"/>
      <c r="CD14" s="953"/>
      <c r="CE14" s="953"/>
      <c r="CF14" s="953"/>
      <c r="CG14" s="951"/>
      <c r="CH14" s="951"/>
      <c r="CI14" s="951"/>
    </row>
    <row r="15" spans="1:98">
      <c r="C15" s="627"/>
      <c r="D15" s="627"/>
      <c r="E15" s="627"/>
      <c r="F15" s="627"/>
      <c r="G15" s="627"/>
      <c r="H15" s="627"/>
      <c r="I15" s="627"/>
      <c r="J15" s="627"/>
      <c r="K15" s="627"/>
      <c r="L15" s="627"/>
      <c r="M15" s="627"/>
      <c r="N15" s="627"/>
      <c r="O15" s="627"/>
      <c r="P15" s="627"/>
      <c r="Q15" s="627"/>
      <c r="R15" s="627"/>
      <c r="S15" s="627"/>
      <c r="T15" s="627"/>
      <c r="U15" s="627"/>
      <c r="V15" s="627"/>
      <c r="W15" s="627"/>
      <c r="X15" s="627"/>
      <c r="Y15" s="627"/>
      <c r="Z15" s="627"/>
      <c r="AA15" s="627"/>
      <c r="AB15" s="627"/>
      <c r="AC15" s="627"/>
      <c r="AD15" s="627"/>
      <c r="AE15" s="627"/>
      <c r="AF15" s="627"/>
      <c r="AG15" s="627"/>
      <c r="AH15" s="627"/>
      <c r="AI15" s="627"/>
      <c r="AJ15" s="627"/>
      <c r="AK15" s="627"/>
      <c r="AL15" s="627"/>
      <c r="AM15" s="627"/>
      <c r="AN15" s="627"/>
      <c r="AO15" s="627"/>
      <c r="AP15" s="627"/>
      <c r="AQ15" s="627"/>
      <c r="AR15" s="627"/>
      <c r="AS15" s="627"/>
      <c r="AT15" s="627"/>
      <c r="BX15" s="954"/>
      <c r="BY15" s="955"/>
      <c r="BZ15" s="955"/>
      <c r="CA15" s="955"/>
      <c r="CB15" s="955"/>
      <c r="CC15" s="955"/>
      <c r="CD15" s="955"/>
      <c r="CE15" s="955"/>
      <c r="CF15" s="955"/>
      <c r="CG15" s="955"/>
      <c r="CH15" s="955"/>
      <c r="CI15" s="956"/>
    </row>
    <row r="16" spans="1:98">
      <c r="C16" s="627"/>
      <c r="D16" s="627"/>
      <c r="E16" s="627"/>
      <c r="F16" s="627"/>
      <c r="G16" s="627"/>
      <c r="H16" s="627"/>
      <c r="I16" s="627"/>
      <c r="J16" s="627"/>
      <c r="K16" s="627"/>
      <c r="L16" s="627"/>
      <c r="M16" s="627"/>
      <c r="N16" s="627"/>
      <c r="O16" s="627"/>
      <c r="P16" s="627"/>
      <c r="Q16" s="627"/>
      <c r="R16" s="627"/>
      <c r="S16" s="627"/>
      <c r="T16" s="627"/>
      <c r="U16" s="627"/>
      <c r="V16" s="627"/>
      <c r="W16" s="627"/>
      <c r="X16" s="627"/>
      <c r="Y16" s="627"/>
      <c r="Z16" s="627"/>
      <c r="AA16" s="627"/>
      <c r="AB16" s="627"/>
      <c r="AC16" s="627"/>
      <c r="AD16" s="627"/>
      <c r="AE16" s="627"/>
      <c r="AF16" s="627"/>
      <c r="AG16" s="627"/>
      <c r="AH16" s="627"/>
      <c r="AI16" s="627"/>
      <c r="AJ16" s="627"/>
      <c r="AK16" s="627"/>
      <c r="AL16" s="627"/>
      <c r="AM16" s="627"/>
      <c r="AN16" s="627"/>
      <c r="AO16" s="627"/>
      <c r="AP16" s="627"/>
      <c r="AQ16" s="627"/>
      <c r="AR16" s="627"/>
      <c r="AS16" s="627"/>
      <c r="AT16" s="627"/>
      <c r="BX16" s="957"/>
      <c r="BY16" s="958" t="s">
        <v>103</v>
      </c>
      <c r="BZ16" s="959" t="s">
        <v>664</v>
      </c>
      <c r="CA16" s="951"/>
      <c r="CB16" s="951"/>
      <c r="CC16" s="951"/>
      <c r="CD16" s="951"/>
      <c r="CE16" s="951"/>
      <c r="CF16" s="951"/>
      <c r="CG16" s="951"/>
      <c r="CH16" s="951"/>
      <c r="CI16" s="960"/>
    </row>
    <row r="17" spans="3:87">
      <c r="C17" s="642"/>
      <c r="D17" s="642"/>
      <c r="E17" s="642"/>
      <c r="F17" s="642"/>
      <c r="G17" s="642"/>
      <c r="H17" s="642"/>
      <c r="I17" s="642"/>
      <c r="J17" s="642"/>
      <c r="K17" s="642"/>
      <c r="L17" s="642"/>
      <c r="M17" s="642"/>
      <c r="N17" s="642"/>
      <c r="O17" s="642"/>
      <c r="P17" s="642"/>
      <c r="Q17" s="642"/>
      <c r="R17" s="642"/>
      <c r="S17" s="642"/>
      <c r="T17" s="642"/>
      <c r="U17" s="642"/>
      <c r="V17" s="642"/>
      <c r="W17" s="642"/>
      <c r="X17" s="642"/>
      <c r="Y17" s="642"/>
      <c r="Z17" s="642"/>
      <c r="AA17" s="642"/>
      <c r="AB17" s="642"/>
      <c r="AC17" s="642"/>
      <c r="AD17" s="642"/>
      <c r="AE17" s="642"/>
      <c r="AF17" s="642"/>
      <c r="AG17" s="642"/>
      <c r="AH17" s="642"/>
      <c r="AI17" s="642"/>
      <c r="AJ17" s="642"/>
      <c r="AK17" s="642"/>
      <c r="AL17" s="642"/>
      <c r="AM17" s="642"/>
      <c r="AN17" s="642"/>
      <c r="AO17" s="642"/>
      <c r="AP17" s="642"/>
      <c r="BX17" s="957"/>
      <c r="BY17" s="951"/>
      <c r="BZ17" s="640" t="s">
        <v>87</v>
      </c>
      <c r="CA17" s="951"/>
      <c r="CB17" s="951"/>
      <c r="CC17" s="951"/>
      <c r="CD17" s="951"/>
      <c r="CE17" s="951"/>
      <c r="CF17" s="951"/>
      <c r="CG17" s="951"/>
      <c r="CH17" s="951"/>
      <c r="CI17" s="961" t="s">
        <v>104</v>
      </c>
    </row>
    <row r="18" spans="3:87">
      <c r="BX18" s="957"/>
      <c r="BY18" s="951"/>
      <c r="BZ18" s="643">
        <f>CD9</f>
        <v>3.3506000676307002</v>
      </c>
      <c r="CA18" s="951"/>
      <c r="CB18" s="951"/>
      <c r="CC18" s="951"/>
      <c r="CD18" s="951"/>
      <c r="CE18" s="951"/>
      <c r="CF18" s="951"/>
      <c r="CG18" s="951"/>
      <c r="CH18" s="951"/>
      <c r="CI18" s="962">
        <f>BZ18</f>
        <v>3.3506000676307002</v>
      </c>
    </row>
    <row r="19" spans="3:87">
      <c r="BX19" s="957"/>
      <c r="BY19" s="951"/>
      <c r="BZ19" s="951"/>
      <c r="CA19" s="951"/>
      <c r="CB19" s="951"/>
      <c r="CC19" s="951"/>
      <c r="CD19" s="951"/>
      <c r="CE19" s="951"/>
      <c r="CF19" s="951"/>
      <c r="CG19" s="951"/>
      <c r="CH19" s="951"/>
      <c r="CI19" s="963"/>
    </row>
    <row r="20" spans="3:87">
      <c r="BX20" s="1064" t="s">
        <v>105</v>
      </c>
      <c r="BY20" s="1065"/>
      <c r="BZ20" s="1065"/>
      <c r="CA20" s="951" t="s">
        <v>665</v>
      </c>
      <c r="CB20" s="951"/>
      <c r="CC20" s="951"/>
      <c r="CD20" s="951"/>
      <c r="CE20" s="951"/>
      <c r="CF20" s="951"/>
      <c r="CG20" s="951"/>
      <c r="CH20" s="951"/>
      <c r="CI20" s="963"/>
    </row>
    <row r="21" spans="3:87">
      <c r="BX21" s="964"/>
      <c r="BY21" s="958"/>
      <c r="BZ21" s="970" t="str">
        <f>CE7</f>
        <v>2024Q1</v>
      </c>
      <c r="CA21" s="970" t="str">
        <f t="shared" ref="CA21:CG21" si="0">CF7</f>
        <v>2024Q2</v>
      </c>
      <c r="CB21" s="970" t="str">
        <f t="shared" si="0"/>
        <v>2024Q3</v>
      </c>
      <c r="CC21" s="970" t="str">
        <f t="shared" si="0"/>
        <v>2024Q4</v>
      </c>
      <c r="CD21" s="970" t="str">
        <f t="shared" si="0"/>
        <v>2025Q1</v>
      </c>
      <c r="CE21" s="970" t="str">
        <f t="shared" si="0"/>
        <v>2025Q2</v>
      </c>
      <c r="CF21" s="970" t="str">
        <f t="shared" si="0"/>
        <v>2025Q3</v>
      </c>
      <c r="CG21" s="970" t="str">
        <f t="shared" si="0"/>
        <v>2025Q4</v>
      </c>
      <c r="CH21" s="951"/>
      <c r="CI21" s="963"/>
    </row>
    <row r="22" spans="3:87">
      <c r="BX22" s="957"/>
      <c r="BY22" s="951"/>
      <c r="BZ22" s="627">
        <f>CD9</f>
        <v>3.3506000676307002</v>
      </c>
      <c r="CA22" s="627">
        <f t="shared" ref="CA22:CG22" si="1">CE9</f>
        <v>3.3713855548821599</v>
      </c>
      <c r="CB22" s="627">
        <f t="shared" si="1"/>
        <v>3.3883014039568402</v>
      </c>
      <c r="CC22" s="627">
        <f t="shared" si="1"/>
        <v>3.4080858525713902</v>
      </c>
      <c r="CD22" s="627">
        <f t="shared" si="1"/>
        <v>3.42941797508669</v>
      </c>
      <c r="CE22" s="627">
        <f t="shared" si="1"/>
        <v>3.4464785567767202</v>
      </c>
      <c r="CF22" s="627">
        <f t="shared" si="1"/>
        <v>3.46378925221474</v>
      </c>
      <c r="CG22" s="627">
        <f t="shared" si="1"/>
        <v>3.4809094361872699</v>
      </c>
      <c r="CH22" s="951"/>
      <c r="CI22" s="962">
        <f>AVERAGE(BZ22:CG22)</f>
        <v>3.4173710124133141</v>
      </c>
    </row>
    <row r="23" spans="3:87">
      <c r="BX23" s="957"/>
      <c r="BY23" s="951"/>
      <c r="BZ23" s="951"/>
      <c r="CA23" s="951"/>
      <c r="CB23" s="951"/>
      <c r="CC23" s="951"/>
      <c r="CD23" s="951"/>
      <c r="CE23" s="951"/>
      <c r="CF23" s="951"/>
      <c r="CG23" s="951"/>
      <c r="CH23" s="951"/>
      <c r="CI23" s="963"/>
    </row>
    <row r="24" spans="3:87">
      <c r="BX24" s="957"/>
      <c r="BY24" s="951"/>
      <c r="BZ24" s="951"/>
      <c r="CA24" s="951"/>
      <c r="CB24" s="951"/>
      <c r="CC24" s="951"/>
      <c r="CD24" s="951"/>
      <c r="CE24" s="951"/>
      <c r="CF24" s="951"/>
      <c r="CG24" s="951"/>
      <c r="CH24" s="965" t="s">
        <v>106</v>
      </c>
      <c r="CI24" s="966">
        <f>(CI22-CI18)/CI18</f>
        <v>1.9928055701923703E-2</v>
      </c>
    </row>
    <row r="25" spans="3:87">
      <c r="BX25" s="967"/>
      <c r="BY25" s="968"/>
      <c r="BZ25" s="968"/>
      <c r="CA25" s="968"/>
      <c r="CB25" s="968"/>
      <c r="CC25" s="968"/>
      <c r="CD25" s="968"/>
      <c r="CE25" s="968"/>
      <c r="CF25" s="968"/>
      <c r="CG25" s="968"/>
      <c r="CH25" s="968"/>
      <c r="CI25" s="969"/>
    </row>
    <row r="28" spans="3:87">
      <c r="CD28" s="618" t="s">
        <v>663</v>
      </c>
    </row>
  </sheetData>
  <mergeCells count="2">
    <mergeCell ref="A1:B1"/>
    <mergeCell ref="BX20:BZ20"/>
  </mergeCells>
  <pageMargins left="0.25" right="0.25" top="1" bottom="1" header="0.5" footer="0.5"/>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1857C-92EA-4425-AB06-D502EB5FD4EE}">
  <sheetPr>
    <pageSetUpPr fitToPage="1"/>
  </sheetPr>
  <dimension ref="B1:F57"/>
  <sheetViews>
    <sheetView showGridLines="0" zoomScale="60" zoomScaleNormal="60" workbookViewId="0">
      <selection activeCell="C39" sqref="C39"/>
    </sheetView>
  </sheetViews>
  <sheetFormatPr defaultRowHeight="26.25"/>
  <cols>
    <col min="1" max="1" width="5.5703125" style="425" customWidth="1"/>
    <col min="2" max="2" width="78.7109375" style="425" customWidth="1"/>
    <col min="3" max="3" width="25.85546875" style="425" customWidth="1"/>
    <col min="4" max="4" width="71.5703125" style="425" customWidth="1"/>
    <col min="5" max="5" width="69.140625" style="427" customWidth="1"/>
    <col min="6" max="6" width="46.140625" style="427" customWidth="1"/>
    <col min="7" max="230" width="9.140625" style="425"/>
    <col min="231" max="231" width="5.5703125" style="425" customWidth="1"/>
    <col min="232" max="232" width="58" style="425" customWidth="1"/>
    <col min="233" max="233" width="24.140625" style="425" customWidth="1"/>
    <col min="234" max="235" width="0" style="425" hidden="1" customWidth="1"/>
    <col min="236" max="236" width="61.42578125" style="425" customWidth="1"/>
    <col min="237" max="237" width="62.140625" style="425" customWidth="1"/>
    <col min="238" max="241" width="0" style="425" hidden="1" customWidth="1"/>
    <col min="242" max="486" width="9.140625" style="425"/>
    <col min="487" max="487" width="5.5703125" style="425" customWidth="1"/>
    <col min="488" max="488" width="58" style="425" customWidth="1"/>
    <col min="489" max="489" width="24.140625" style="425" customWidth="1"/>
    <col min="490" max="491" width="0" style="425" hidden="1" customWidth="1"/>
    <col min="492" max="492" width="61.42578125" style="425" customWidth="1"/>
    <col min="493" max="493" width="62.140625" style="425" customWidth="1"/>
    <col min="494" max="497" width="0" style="425" hidden="1" customWidth="1"/>
    <col min="498" max="742" width="9.140625" style="425"/>
    <col min="743" max="743" width="5.5703125" style="425" customWidth="1"/>
    <col min="744" max="744" width="58" style="425" customWidth="1"/>
    <col min="745" max="745" width="24.140625" style="425" customWidth="1"/>
    <col min="746" max="747" width="0" style="425" hidden="1" customWidth="1"/>
    <col min="748" max="748" width="61.42578125" style="425" customWidth="1"/>
    <col min="749" max="749" width="62.140625" style="425" customWidth="1"/>
    <col min="750" max="753" width="0" style="425" hidden="1" customWidth="1"/>
    <col min="754" max="998" width="9.140625" style="425"/>
    <col min="999" max="999" width="5.5703125" style="425" customWidth="1"/>
    <col min="1000" max="1000" width="58" style="425" customWidth="1"/>
    <col min="1001" max="1001" width="24.140625" style="425" customWidth="1"/>
    <col min="1002" max="1003" width="0" style="425" hidden="1" customWidth="1"/>
    <col min="1004" max="1004" width="61.42578125" style="425" customWidth="1"/>
    <col min="1005" max="1005" width="62.140625" style="425" customWidth="1"/>
    <col min="1006" max="1009" width="0" style="425" hidden="1" customWidth="1"/>
    <col min="1010" max="1254" width="9.140625" style="425"/>
    <col min="1255" max="1255" width="5.5703125" style="425" customWidth="1"/>
    <col min="1256" max="1256" width="58" style="425" customWidth="1"/>
    <col min="1257" max="1257" width="24.140625" style="425" customWidth="1"/>
    <col min="1258" max="1259" width="0" style="425" hidden="1" customWidth="1"/>
    <col min="1260" max="1260" width="61.42578125" style="425" customWidth="1"/>
    <col min="1261" max="1261" width="62.140625" style="425" customWidth="1"/>
    <col min="1262" max="1265" width="0" style="425" hidden="1" customWidth="1"/>
    <col min="1266" max="1510" width="9.140625" style="425"/>
    <col min="1511" max="1511" width="5.5703125" style="425" customWidth="1"/>
    <col min="1512" max="1512" width="58" style="425" customWidth="1"/>
    <col min="1513" max="1513" width="24.140625" style="425" customWidth="1"/>
    <col min="1514" max="1515" width="0" style="425" hidden="1" customWidth="1"/>
    <col min="1516" max="1516" width="61.42578125" style="425" customWidth="1"/>
    <col min="1517" max="1517" width="62.140625" style="425" customWidth="1"/>
    <col min="1518" max="1521" width="0" style="425" hidden="1" customWidth="1"/>
    <col min="1522" max="1766" width="9.140625" style="425"/>
    <col min="1767" max="1767" width="5.5703125" style="425" customWidth="1"/>
    <col min="1768" max="1768" width="58" style="425" customWidth="1"/>
    <col min="1769" max="1769" width="24.140625" style="425" customWidth="1"/>
    <col min="1770" max="1771" width="0" style="425" hidden="1" customWidth="1"/>
    <col min="1772" max="1772" width="61.42578125" style="425" customWidth="1"/>
    <col min="1773" max="1773" width="62.140625" style="425" customWidth="1"/>
    <col min="1774" max="1777" width="0" style="425" hidden="1" customWidth="1"/>
    <col min="1778" max="2022" width="9.140625" style="425"/>
    <col min="2023" max="2023" width="5.5703125" style="425" customWidth="1"/>
    <col min="2024" max="2024" width="58" style="425" customWidth="1"/>
    <col min="2025" max="2025" width="24.140625" style="425" customWidth="1"/>
    <col min="2026" max="2027" width="0" style="425" hidden="1" customWidth="1"/>
    <col min="2028" max="2028" width="61.42578125" style="425" customWidth="1"/>
    <col min="2029" max="2029" width="62.140625" style="425" customWidth="1"/>
    <col min="2030" max="2033" width="0" style="425" hidden="1" customWidth="1"/>
    <col min="2034" max="2278" width="9.140625" style="425"/>
    <col min="2279" max="2279" width="5.5703125" style="425" customWidth="1"/>
    <col min="2280" max="2280" width="58" style="425" customWidth="1"/>
    <col min="2281" max="2281" width="24.140625" style="425" customWidth="1"/>
    <col min="2282" max="2283" width="0" style="425" hidden="1" customWidth="1"/>
    <col min="2284" max="2284" width="61.42578125" style="425" customWidth="1"/>
    <col min="2285" max="2285" width="62.140625" style="425" customWidth="1"/>
    <col min="2286" max="2289" width="0" style="425" hidden="1" customWidth="1"/>
    <col min="2290" max="2534" width="9.140625" style="425"/>
    <col min="2535" max="2535" width="5.5703125" style="425" customWidth="1"/>
    <col min="2536" max="2536" width="58" style="425" customWidth="1"/>
    <col min="2537" max="2537" width="24.140625" style="425" customWidth="1"/>
    <col min="2538" max="2539" width="0" style="425" hidden="1" customWidth="1"/>
    <col min="2540" max="2540" width="61.42578125" style="425" customWidth="1"/>
    <col min="2541" max="2541" width="62.140625" style="425" customWidth="1"/>
    <col min="2542" max="2545" width="0" style="425" hidden="1" customWidth="1"/>
    <col min="2546" max="2790" width="9.140625" style="425"/>
    <col min="2791" max="2791" width="5.5703125" style="425" customWidth="1"/>
    <col min="2792" max="2792" width="58" style="425" customWidth="1"/>
    <col min="2793" max="2793" width="24.140625" style="425" customWidth="1"/>
    <col min="2794" max="2795" width="0" style="425" hidden="1" customWidth="1"/>
    <col min="2796" max="2796" width="61.42578125" style="425" customWidth="1"/>
    <col min="2797" max="2797" width="62.140625" style="425" customWidth="1"/>
    <col min="2798" max="2801" width="0" style="425" hidden="1" customWidth="1"/>
    <col min="2802" max="3046" width="9.140625" style="425"/>
    <col min="3047" max="3047" width="5.5703125" style="425" customWidth="1"/>
    <col min="3048" max="3048" width="58" style="425" customWidth="1"/>
    <col min="3049" max="3049" width="24.140625" style="425" customWidth="1"/>
    <col min="3050" max="3051" width="0" style="425" hidden="1" customWidth="1"/>
    <col min="3052" max="3052" width="61.42578125" style="425" customWidth="1"/>
    <col min="3053" max="3053" width="62.140625" style="425" customWidth="1"/>
    <col min="3054" max="3057" width="0" style="425" hidden="1" customWidth="1"/>
    <col min="3058" max="3302" width="9.140625" style="425"/>
    <col min="3303" max="3303" width="5.5703125" style="425" customWidth="1"/>
    <col min="3304" max="3304" width="58" style="425" customWidth="1"/>
    <col min="3305" max="3305" width="24.140625" style="425" customWidth="1"/>
    <col min="3306" max="3307" width="0" style="425" hidden="1" customWidth="1"/>
    <col min="3308" max="3308" width="61.42578125" style="425" customWidth="1"/>
    <col min="3309" max="3309" width="62.140625" style="425" customWidth="1"/>
    <col min="3310" max="3313" width="0" style="425" hidden="1" customWidth="1"/>
    <col min="3314" max="3558" width="9.140625" style="425"/>
    <col min="3559" max="3559" width="5.5703125" style="425" customWidth="1"/>
    <col min="3560" max="3560" width="58" style="425" customWidth="1"/>
    <col min="3561" max="3561" width="24.140625" style="425" customWidth="1"/>
    <col min="3562" max="3563" width="0" style="425" hidden="1" customWidth="1"/>
    <col min="3564" max="3564" width="61.42578125" style="425" customWidth="1"/>
    <col min="3565" max="3565" width="62.140625" style="425" customWidth="1"/>
    <col min="3566" max="3569" width="0" style="425" hidden="1" customWidth="1"/>
    <col min="3570" max="3814" width="9.140625" style="425"/>
    <col min="3815" max="3815" width="5.5703125" style="425" customWidth="1"/>
    <col min="3816" max="3816" width="58" style="425" customWidth="1"/>
    <col min="3817" max="3817" width="24.140625" style="425" customWidth="1"/>
    <col min="3818" max="3819" width="0" style="425" hidden="1" customWidth="1"/>
    <col min="3820" max="3820" width="61.42578125" style="425" customWidth="1"/>
    <col min="3821" max="3821" width="62.140625" style="425" customWidth="1"/>
    <col min="3822" max="3825" width="0" style="425" hidden="1" customWidth="1"/>
    <col min="3826" max="4070" width="9.140625" style="425"/>
    <col min="4071" max="4071" width="5.5703125" style="425" customWidth="1"/>
    <col min="4072" max="4072" width="58" style="425" customWidth="1"/>
    <col min="4073" max="4073" width="24.140625" style="425" customWidth="1"/>
    <col min="4074" max="4075" width="0" style="425" hidden="1" customWidth="1"/>
    <col min="4076" max="4076" width="61.42578125" style="425" customWidth="1"/>
    <col min="4077" max="4077" width="62.140625" style="425" customWidth="1"/>
    <col min="4078" max="4081" width="0" style="425" hidden="1" customWidth="1"/>
    <col min="4082" max="4326" width="9.140625" style="425"/>
    <col min="4327" max="4327" width="5.5703125" style="425" customWidth="1"/>
    <col min="4328" max="4328" width="58" style="425" customWidth="1"/>
    <col min="4329" max="4329" width="24.140625" style="425" customWidth="1"/>
    <col min="4330" max="4331" width="0" style="425" hidden="1" customWidth="1"/>
    <col min="4332" max="4332" width="61.42578125" style="425" customWidth="1"/>
    <col min="4333" max="4333" width="62.140625" style="425" customWidth="1"/>
    <col min="4334" max="4337" width="0" style="425" hidden="1" customWidth="1"/>
    <col min="4338" max="4582" width="9.140625" style="425"/>
    <col min="4583" max="4583" width="5.5703125" style="425" customWidth="1"/>
    <col min="4584" max="4584" width="58" style="425" customWidth="1"/>
    <col min="4585" max="4585" width="24.140625" style="425" customWidth="1"/>
    <col min="4586" max="4587" width="0" style="425" hidden="1" customWidth="1"/>
    <col min="4588" max="4588" width="61.42578125" style="425" customWidth="1"/>
    <col min="4589" max="4589" width="62.140625" style="425" customWidth="1"/>
    <col min="4590" max="4593" width="0" style="425" hidden="1" customWidth="1"/>
    <col min="4594" max="4838" width="9.140625" style="425"/>
    <col min="4839" max="4839" width="5.5703125" style="425" customWidth="1"/>
    <col min="4840" max="4840" width="58" style="425" customWidth="1"/>
    <col min="4841" max="4841" width="24.140625" style="425" customWidth="1"/>
    <col min="4842" max="4843" width="0" style="425" hidden="1" customWidth="1"/>
    <col min="4844" max="4844" width="61.42578125" style="425" customWidth="1"/>
    <col min="4845" max="4845" width="62.140625" style="425" customWidth="1"/>
    <col min="4846" max="4849" width="0" style="425" hidden="1" customWidth="1"/>
    <col min="4850" max="5094" width="9.140625" style="425"/>
    <col min="5095" max="5095" width="5.5703125" style="425" customWidth="1"/>
    <col min="5096" max="5096" width="58" style="425" customWidth="1"/>
    <col min="5097" max="5097" width="24.140625" style="425" customWidth="1"/>
    <col min="5098" max="5099" width="0" style="425" hidden="1" customWidth="1"/>
    <col min="5100" max="5100" width="61.42578125" style="425" customWidth="1"/>
    <col min="5101" max="5101" width="62.140625" style="425" customWidth="1"/>
    <col min="5102" max="5105" width="0" style="425" hidden="1" customWidth="1"/>
    <col min="5106" max="5350" width="9.140625" style="425"/>
    <col min="5351" max="5351" width="5.5703125" style="425" customWidth="1"/>
    <col min="5352" max="5352" width="58" style="425" customWidth="1"/>
    <col min="5353" max="5353" width="24.140625" style="425" customWidth="1"/>
    <col min="5354" max="5355" width="0" style="425" hidden="1" customWidth="1"/>
    <col min="5356" max="5356" width="61.42578125" style="425" customWidth="1"/>
    <col min="5357" max="5357" width="62.140625" style="425" customWidth="1"/>
    <col min="5358" max="5361" width="0" style="425" hidden="1" customWidth="1"/>
    <col min="5362" max="5606" width="9.140625" style="425"/>
    <col min="5607" max="5607" width="5.5703125" style="425" customWidth="1"/>
    <col min="5608" max="5608" width="58" style="425" customWidth="1"/>
    <col min="5609" max="5609" width="24.140625" style="425" customWidth="1"/>
    <col min="5610" max="5611" width="0" style="425" hidden="1" customWidth="1"/>
    <col min="5612" max="5612" width="61.42578125" style="425" customWidth="1"/>
    <col min="5613" max="5613" width="62.140625" style="425" customWidth="1"/>
    <col min="5614" max="5617" width="0" style="425" hidden="1" customWidth="1"/>
    <col min="5618" max="5862" width="9.140625" style="425"/>
    <col min="5863" max="5863" width="5.5703125" style="425" customWidth="1"/>
    <col min="5864" max="5864" width="58" style="425" customWidth="1"/>
    <col min="5865" max="5865" width="24.140625" style="425" customWidth="1"/>
    <col min="5866" max="5867" width="0" style="425" hidden="1" customWidth="1"/>
    <col min="5868" max="5868" width="61.42578125" style="425" customWidth="1"/>
    <col min="5869" max="5869" width="62.140625" style="425" customWidth="1"/>
    <col min="5870" max="5873" width="0" style="425" hidden="1" customWidth="1"/>
    <col min="5874" max="6118" width="9.140625" style="425"/>
    <col min="6119" max="6119" width="5.5703125" style="425" customWidth="1"/>
    <col min="6120" max="6120" width="58" style="425" customWidth="1"/>
    <col min="6121" max="6121" width="24.140625" style="425" customWidth="1"/>
    <col min="6122" max="6123" width="0" style="425" hidden="1" customWidth="1"/>
    <col min="6124" max="6124" width="61.42578125" style="425" customWidth="1"/>
    <col min="6125" max="6125" width="62.140625" style="425" customWidth="1"/>
    <col min="6126" max="6129" width="0" style="425" hidden="1" customWidth="1"/>
    <col min="6130" max="6374" width="9.140625" style="425"/>
    <col min="6375" max="6375" width="5.5703125" style="425" customWidth="1"/>
    <col min="6376" max="6376" width="58" style="425" customWidth="1"/>
    <col min="6377" max="6377" width="24.140625" style="425" customWidth="1"/>
    <col min="6378" max="6379" width="0" style="425" hidden="1" customWidth="1"/>
    <col min="6380" max="6380" width="61.42578125" style="425" customWidth="1"/>
    <col min="6381" max="6381" width="62.140625" style="425" customWidth="1"/>
    <col min="6382" max="6385" width="0" style="425" hidden="1" customWidth="1"/>
    <col min="6386" max="6630" width="9.140625" style="425"/>
    <col min="6631" max="6631" width="5.5703125" style="425" customWidth="1"/>
    <col min="6632" max="6632" width="58" style="425" customWidth="1"/>
    <col min="6633" max="6633" width="24.140625" style="425" customWidth="1"/>
    <col min="6634" max="6635" width="0" style="425" hidden="1" customWidth="1"/>
    <col min="6636" max="6636" width="61.42578125" style="425" customWidth="1"/>
    <col min="6637" max="6637" width="62.140625" style="425" customWidth="1"/>
    <col min="6638" max="6641" width="0" style="425" hidden="1" customWidth="1"/>
    <col min="6642" max="6886" width="9.140625" style="425"/>
    <col min="6887" max="6887" width="5.5703125" style="425" customWidth="1"/>
    <col min="6888" max="6888" width="58" style="425" customWidth="1"/>
    <col min="6889" max="6889" width="24.140625" style="425" customWidth="1"/>
    <col min="6890" max="6891" width="0" style="425" hidden="1" customWidth="1"/>
    <col min="6892" max="6892" width="61.42578125" style="425" customWidth="1"/>
    <col min="6893" max="6893" width="62.140625" style="425" customWidth="1"/>
    <col min="6894" max="6897" width="0" style="425" hidden="1" customWidth="1"/>
    <col min="6898" max="7142" width="9.140625" style="425"/>
    <col min="7143" max="7143" width="5.5703125" style="425" customWidth="1"/>
    <col min="7144" max="7144" width="58" style="425" customWidth="1"/>
    <col min="7145" max="7145" width="24.140625" style="425" customWidth="1"/>
    <col min="7146" max="7147" width="0" style="425" hidden="1" customWidth="1"/>
    <col min="7148" max="7148" width="61.42578125" style="425" customWidth="1"/>
    <col min="7149" max="7149" width="62.140625" style="425" customWidth="1"/>
    <col min="7150" max="7153" width="0" style="425" hidden="1" customWidth="1"/>
    <col min="7154" max="7398" width="9.140625" style="425"/>
    <col min="7399" max="7399" width="5.5703125" style="425" customWidth="1"/>
    <col min="7400" max="7400" width="58" style="425" customWidth="1"/>
    <col min="7401" max="7401" width="24.140625" style="425" customWidth="1"/>
    <col min="7402" max="7403" width="0" style="425" hidden="1" customWidth="1"/>
    <col min="7404" max="7404" width="61.42578125" style="425" customWidth="1"/>
    <col min="7405" max="7405" width="62.140625" style="425" customWidth="1"/>
    <col min="7406" max="7409" width="0" style="425" hidden="1" customWidth="1"/>
    <col min="7410" max="7654" width="9.140625" style="425"/>
    <col min="7655" max="7655" width="5.5703125" style="425" customWidth="1"/>
    <col min="7656" max="7656" width="58" style="425" customWidth="1"/>
    <col min="7657" max="7657" width="24.140625" style="425" customWidth="1"/>
    <col min="7658" max="7659" width="0" style="425" hidden="1" customWidth="1"/>
    <col min="7660" max="7660" width="61.42578125" style="425" customWidth="1"/>
    <col min="7661" max="7661" width="62.140625" style="425" customWidth="1"/>
    <col min="7662" max="7665" width="0" style="425" hidden="1" customWidth="1"/>
    <col min="7666" max="7910" width="9.140625" style="425"/>
    <col min="7911" max="7911" width="5.5703125" style="425" customWidth="1"/>
    <col min="7912" max="7912" width="58" style="425" customWidth="1"/>
    <col min="7913" max="7913" width="24.140625" style="425" customWidth="1"/>
    <col min="7914" max="7915" width="0" style="425" hidden="1" customWidth="1"/>
    <col min="7916" max="7916" width="61.42578125" style="425" customWidth="1"/>
    <col min="7917" max="7917" width="62.140625" style="425" customWidth="1"/>
    <col min="7918" max="7921" width="0" style="425" hidden="1" customWidth="1"/>
    <col min="7922" max="8166" width="9.140625" style="425"/>
    <col min="8167" max="8167" width="5.5703125" style="425" customWidth="1"/>
    <col min="8168" max="8168" width="58" style="425" customWidth="1"/>
    <col min="8169" max="8169" width="24.140625" style="425" customWidth="1"/>
    <col min="8170" max="8171" width="0" style="425" hidden="1" customWidth="1"/>
    <col min="8172" max="8172" width="61.42578125" style="425" customWidth="1"/>
    <col min="8173" max="8173" width="62.140625" style="425" customWidth="1"/>
    <col min="8174" max="8177" width="0" style="425" hidden="1" customWidth="1"/>
    <col min="8178" max="8422" width="9.140625" style="425"/>
    <col min="8423" max="8423" width="5.5703125" style="425" customWidth="1"/>
    <col min="8424" max="8424" width="58" style="425" customWidth="1"/>
    <col min="8425" max="8425" width="24.140625" style="425" customWidth="1"/>
    <col min="8426" max="8427" width="0" style="425" hidden="1" customWidth="1"/>
    <col min="8428" max="8428" width="61.42578125" style="425" customWidth="1"/>
    <col min="8429" max="8429" width="62.140625" style="425" customWidth="1"/>
    <col min="8430" max="8433" width="0" style="425" hidden="1" customWidth="1"/>
    <col min="8434" max="8678" width="9.140625" style="425"/>
    <col min="8679" max="8679" width="5.5703125" style="425" customWidth="1"/>
    <col min="8680" max="8680" width="58" style="425" customWidth="1"/>
    <col min="8681" max="8681" width="24.140625" style="425" customWidth="1"/>
    <col min="8682" max="8683" width="0" style="425" hidden="1" customWidth="1"/>
    <col min="8684" max="8684" width="61.42578125" style="425" customWidth="1"/>
    <col min="8685" max="8685" width="62.140625" style="425" customWidth="1"/>
    <col min="8686" max="8689" width="0" style="425" hidden="1" customWidth="1"/>
    <col min="8690" max="8934" width="9.140625" style="425"/>
    <col min="8935" max="8935" width="5.5703125" style="425" customWidth="1"/>
    <col min="8936" max="8936" width="58" style="425" customWidth="1"/>
    <col min="8937" max="8937" width="24.140625" style="425" customWidth="1"/>
    <col min="8938" max="8939" width="0" style="425" hidden="1" customWidth="1"/>
    <col min="8940" max="8940" width="61.42578125" style="425" customWidth="1"/>
    <col min="8941" max="8941" width="62.140625" style="425" customWidth="1"/>
    <col min="8942" max="8945" width="0" style="425" hidden="1" customWidth="1"/>
    <col min="8946" max="9190" width="9.140625" style="425"/>
    <col min="9191" max="9191" width="5.5703125" style="425" customWidth="1"/>
    <col min="9192" max="9192" width="58" style="425" customWidth="1"/>
    <col min="9193" max="9193" width="24.140625" style="425" customWidth="1"/>
    <col min="9194" max="9195" width="0" style="425" hidden="1" customWidth="1"/>
    <col min="9196" max="9196" width="61.42578125" style="425" customWidth="1"/>
    <col min="9197" max="9197" width="62.140625" style="425" customWidth="1"/>
    <col min="9198" max="9201" width="0" style="425" hidden="1" customWidth="1"/>
    <col min="9202" max="9446" width="9.140625" style="425"/>
    <col min="9447" max="9447" width="5.5703125" style="425" customWidth="1"/>
    <col min="9448" max="9448" width="58" style="425" customWidth="1"/>
    <col min="9449" max="9449" width="24.140625" style="425" customWidth="1"/>
    <col min="9450" max="9451" width="0" style="425" hidden="1" customWidth="1"/>
    <col min="9452" max="9452" width="61.42578125" style="425" customWidth="1"/>
    <col min="9453" max="9453" width="62.140625" style="425" customWidth="1"/>
    <col min="9454" max="9457" width="0" style="425" hidden="1" customWidth="1"/>
    <col min="9458" max="9702" width="9.140625" style="425"/>
    <col min="9703" max="9703" width="5.5703125" style="425" customWidth="1"/>
    <col min="9704" max="9704" width="58" style="425" customWidth="1"/>
    <col min="9705" max="9705" width="24.140625" style="425" customWidth="1"/>
    <col min="9706" max="9707" width="0" style="425" hidden="1" customWidth="1"/>
    <col min="9708" max="9708" width="61.42578125" style="425" customWidth="1"/>
    <col min="9709" max="9709" width="62.140625" style="425" customWidth="1"/>
    <col min="9710" max="9713" width="0" style="425" hidden="1" customWidth="1"/>
    <col min="9714" max="9958" width="9.140625" style="425"/>
    <col min="9959" max="9959" width="5.5703125" style="425" customWidth="1"/>
    <col min="9960" max="9960" width="58" style="425" customWidth="1"/>
    <col min="9961" max="9961" width="24.140625" style="425" customWidth="1"/>
    <col min="9962" max="9963" width="0" style="425" hidden="1" customWidth="1"/>
    <col min="9964" max="9964" width="61.42578125" style="425" customWidth="1"/>
    <col min="9965" max="9965" width="62.140625" style="425" customWidth="1"/>
    <col min="9966" max="9969" width="0" style="425" hidden="1" customWidth="1"/>
    <col min="9970" max="10214" width="9.140625" style="425"/>
    <col min="10215" max="10215" width="5.5703125" style="425" customWidth="1"/>
    <col min="10216" max="10216" width="58" style="425" customWidth="1"/>
    <col min="10217" max="10217" width="24.140625" style="425" customWidth="1"/>
    <col min="10218" max="10219" width="0" style="425" hidden="1" customWidth="1"/>
    <col min="10220" max="10220" width="61.42578125" style="425" customWidth="1"/>
    <col min="10221" max="10221" width="62.140625" style="425" customWidth="1"/>
    <col min="10222" max="10225" width="0" style="425" hidden="1" customWidth="1"/>
    <col min="10226" max="10470" width="9.140625" style="425"/>
    <col min="10471" max="10471" width="5.5703125" style="425" customWidth="1"/>
    <col min="10472" max="10472" width="58" style="425" customWidth="1"/>
    <col min="10473" max="10473" width="24.140625" style="425" customWidth="1"/>
    <col min="10474" max="10475" width="0" style="425" hidden="1" customWidth="1"/>
    <col min="10476" max="10476" width="61.42578125" style="425" customWidth="1"/>
    <col min="10477" max="10477" width="62.140625" style="425" customWidth="1"/>
    <col min="10478" max="10481" width="0" style="425" hidden="1" customWidth="1"/>
    <col min="10482" max="10726" width="9.140625" style="425"/>
    <col min="10727" max="10727" width="5.5703125" style="425" customWidth="1"/>
    <col min="10728" max="10728" width="58" style="425" customWidth="1"/>
    <col min="10729" max="10729" width="24.140625" style="425" customWidth="1"/>
    <col min="10730" max="10731" width="0" style="425" hidden="1" customWidth="1"/>
    <col min="10732" max="10732" width="61.42578125" style="425" customWidth="1"/>
    <col min="10733" max="10733" width="62.140625" style="425" customWidth="1"/>
    <col min="10734" max="10737" width="0" style="425" hidden="1" customWidth="1"/>
    <col min="10738" max="10982" width="9.140625" style="425"/>
    <col min="10983" max="10983" width="5.5703125" style="425" customWidth="1"/>
    <col min="10984" max="10984" width="58" style="425" customWidth="1"/>
    <col min="10985" max="10985" width="24.140625" style="425" customWidth="1"/>
    <col min="10986" max="10987" width="0" style="425" hidden="1" customWidth="1"/>
    <col min="10988" max="10988" width="61.42578125" style="425" customWidth="1"/>
    <col min="10989" max="10989" width="62.140625" style="425" customWidth="1"/>
    <col min="10990" max="10993" width="0" style="425" hidden="1" customWidth="1"/>
    <col min="10994" max="11238" width="9.140625" style="425"/>
    <col min="11239" max="11239" width="5.5703125" style="425" customWidth="1"/>
    <col min="11240" max="11240" width="58" style="425" customWidth="1"/>
    <col min="11241" max="11241" width="24.140625" style="425" customWidth="1"/>
    <col min="11242" max="11243" width="0" style="425" hidden="1" customWidth="1"/>
    <col min="11244" max="11244" width="61.42578125" style="425" customWidth="1"/>
    <col min="11245" max="11245" width="62.140625" style="425" customWidth="1"/>
    <col min="11246" max="11249" width="0" style="425" hidden="1" customWidth="1"/>
    <col min="11250" max="11494" width="9.140625" style="425"/>
    <col min="11495" max="11495" width="5.5703125" style="425" customWidth="1"/>
    <col min="11496" max="11496" width="58" style="425" customWidth="1"/>
    <col min="11497" max="11497" width="24.140625" style="425" customWidth="1"/>
    <col min="11498" max="11499" width="0" style="425" hidden="1" customWidth="1"/>
    <col min="11500" max="11500" width="61.42578125" style="425" customWidth="1"/>
    <col min="11501" max="11501" width="62.140625" style="425" customWidth="1"/>
    <col min="11502" max="11505" width="0" style="425" hidden="1" customWidth="1"/>
    <col min="11506" max="11750" width="9.140625" style="425"/>
    <col min="11751" max="11751" width="5.5703125" style="425" customWidth="1"/>
    <col min="11752" max="11752" width="58" style="425" customWidth="1"/>
    <col min="11753" max="11753" width="24.140625" style="425" customWidth="1"/>
    <col min="11754" max="11755" width="0" style="425" hidden="1" customWidth="1"/>
    <col min="11756" max="11756" width="61.42578125" style="425" customWidth="1"/>
    <col min="11757" max="11757" width="62.140625" style="425" customWidth="1"/>
    <col min="11758" max="11761" width="0" style="425" hidden="1" customWidth="1"/>
    <col min="11762" max="12006" width="9.140625" style="425"/>
    <col min="12007" max="12007" width="5.5703125" style="425" customWidth="1"/>
    <col min="12008" max="12008" width="58" style="425" customWidth="1"/>
    <col min="12009" max="12009" width="24.140625" style="425" customWidth="1"/>
    <col min="12010" max="12011" width="0" style="425" hidden="1" customWidth="1"/>
    <col min="12012" max="12012" width="61.42578125" style="425" customWidth="1"/>
    <col min="12013" max="12013" width="62.140625" style="425" customWidth="1"/>
    <col min="12014" max="12017" width="0" style="425" hidden="1" customWidth="1"/>
    <col min="12018" max="12262" width="9.140625" style="425"/>
    <col min="12263" max="12263" width="5.5703125" style="425" customWidth="1"/>
    <col min="12264" max="12264" width="58" style="425" customWidth="1"/>
    <col min="12265" max="12265" width="24.140625" style="425" customWidth="1"/>
    <col min="12266" max="12267" width="0" style="425" hidden="1" customWidth="1"/>
    <col min="12268" max="12268" width="61.42578125" style="425" customWidth="1"/>
    <col min="12269" max="12269" width="62.140625" style="425" customWidth="1"/>
    <col min="12270" max="12273" width="0" style="425" hidden="1" customWidth="1"/>
    <col min="12274" max="12518" width="9.140625" style="425"/>
    <col min="12519" max="12519" width="5.5703125" style="425" customWidth="1"/>
    <col min="12520" max="12520" width="58" style="425" customWidth="1"/>
    <col min="12521" max="12521" width="24.140625" style="425" customWidth="1"/>
    <col min="12522" max="12523" width="0" style="425" hidden="1" customWidth="1"/>
    <col min="12524" max="12524" width="61.42578125" style="425" customWidth="1"/>
    <col min="12525" max="12525" width="62.140625" style="425" customWidth="1"/>
    <col min="12526" max="12529" width="0" style="425" hidden="1" customWidth="1"/>
    <col min="12530" max="12774" width="9.140625" style="425"/>
    <col min="12775" max="12775" width="5.5703125" style="425" customWidth="1"/>
    <col min="12776" max="12776" width="58" style="425" customWidth="1"/>
    <col min="12777" max="12777" width="24.140625" style="425" customWidth="1"/>
    <col min="12778" max="12779" width="0" style="425" hidden="1" customWidth="1"/>
    <col min="12780" max="12780" width="61.42578125" style="425" customWidth="1"/>
    <col min="12781" max="12781" width="62.140625" style="425" customWidth="1"/>
    <col min="12782" max="12785" width="0" style="425" hidden="1" customWidth="1"/>
    <col min="12786" max="13030" width="9.140625" style="425"/>
    <col min="13031" max="13031" width="5.5703125" style="425" customWidth="1"/>
    <col min="13032" max="13032" width="58" style="425" customWidth="1"/>
    <col min="13033" max="13033" width="24.140625" style="425" customWidth="1"/>
    <col min="13034" max="13035" width="0" style="425" hidden="1" customWidth="1"/>
    <col min="13036" max="13036" width="61.42578125" style="425" customWidth="1"/>
    <col min="13037" max="13037" width="62.140625" style="425" customWidth="1"/>
    <col min="13038" max="13041" width="0" style="425" hidden="1" customWidth="1"/>
    <col min="13042" max="13286" width="9.140625" style="425"/>
    <col min="13287" max="13287" width="5.5703125" style="425" customWidth="1"/>
    <col min="13288" max="13288" width="58" style="425" customWidth="1"/>
    <col min="13289" max="13289" width="24.140625" style="425" customWidth="1"/>
    <col min="13290" max="13291" width="0" style="425" hidden="1" customWidth="1"/>
    <col min="13292" max="13292" width="61.42578125" style="425" customWidth="1"/>
    <col min="13293" max="13293" width="62.140625" style="425" customWidth="1"/>
    <col min="13294" max="13297" width="0" style="425" hidden="1" customWidth="1"/>
    <col min="13298" max="13542" width="9.140625" style="425"/>
    <col min="13543" max="13543" width="5.5703125" style="425" customWidth="1"/>
    <col min="13544" max="13544" width="58" style="425" customWidth="1"/>
    <col min="13545" max="13545" width="24.140625" style="425" customWidth="1"/>
    <col min="13546" max="13547" width="0" style="425" hidden="1" customWidth="1"/>
    <col min="13548" max="13548" width="61.42578125" style="425" customWidth="1"/>
    <col min="13549" max="13549" width="62.140625" style="425" customWidth="1"/>
    <col min="13550" max="13553" width="0" style="425" hidden="1" customWidth="1"/>
    <col min="13554" max="13798" width="9.140625" style="425"/>
    <col min="13799" max="13799" width="5.5703125" style="425" customWidth="1"/>
    <col min="13800" max="13800" width="58" style="425" customWidth="1"/>
    <col min="13801" max="13801" width="24.140625" style="425" customWidth="1"/>
    <col min="13802" max="13803" width="0" style="425" hidden="1" customWidth="1"/>
    <col min="13804" max="13804" width="61.42578125" style="425" customWidth="1"/>
    <col min="13805" max="13805" width="62.140625" style="425" customWidth="1"/>
    <col min="13806" max="13809" width="0" style="425" hidden="1" customWidth="1"/>
    <col min="13810" max="14054" width="9.140625" style="425"/>
    <col min="14055" max="14055" width="5.5703125" style="425" customWidth="1"/>
    <col min="14056" max="14056" width="58" style="425" customWidth="1"/>
    <col min="14057" max="14057" width="24.140625" style="425" customWidth="1"/>
    <col min="14058" max="14059" width="0" style="425" hidden="1" customWidth="1"/>
    <col min="14060" max="14060" width="61.42578125" style="425" customWidth="1"/>
    <col min="14061" max="14061" width="62.140625" style="425" customWidth="1"/>
    <col min="14062" max="14065" width="0" style="425" hidden="1" customWidth="1"/>
    <col min="14066" max="14310" width="9.140625" style="425"/>
    <col min="14311" max="14311" width="5.5703125" style="425" customWidth="1"/>
    <col min="14312" max="14312" width="58" style="425" customWidth="1"/>
    <col min="14313" max="14313" width="24.140625" style="425" customWidth="1"/>
    <col min="14314" max="14315" width="0" style="425" hidden="1" customWidth="1"/>
    <col min="14316" max="14316" width="61.42578125" style="425" customWidth="1"/>
    <col min="14317" max="14317" width="62.140625" style="425" customWidth="1"/>
    <col min="14318" max="14321" width="0" style="425" hidden="1" customWidth="1"/>
    <col min="14322" max="14566" width="9.140625" style="425"/>
    <col min="14567" max="14567" width="5.5703125" style="425" customWidth="1"/>
    <col min="14568" max="14568" width="58" style="425" customWidth="1"/>
    <col min="14569" max="14569" width="24.140625" style="425" customWidth="1"/>
    <col min="14570" max="14571" width="0" style="425" hidden="1" customWidth="1"/>
    <col min="14572" max="14572" width="61.42578125" style="425" customWidth="1"/>
    <col min="14573" max="14573" width="62.140625" style="425" customWidth="1"/>
    <col min="14574" max="14577" width="0" style="425" hidden="1" customWidth="1"/>
    <col min="14578" max="14822" width="9.140625" style="425"/>
    <col min="14823" max="14823" width="5.5703125" style="425" customWidth="1"/>
    <col min="14824" max="14824" width="58" style="425" customWidth="1"/>
    <col min="14825" max="14825" width="24.140625" style="425" customWidth="1"/>
    <col min="14826" max="14827" width="0" style="425" hidden="1" customWidth="1"/>
    <col min="14828" max="14828" width="61.42578125" style="425" customWidth="1"/>
    <col min="14829" max="14829" width="62.140625" style="425" customWidth="1"/>
    <col min="14830" max="14833" width="0" style="425" hidden="1" customWidth="1"/>
    <col min="14834" max="15078" width="9.140625" style="425"/>
    <col min="15079" max="15079" width="5.5703125" style="425" customWidth="1"/>
    <col min="15080" max="15080" width="58" style="425" customWidth="1"/>
    <col min="15081" max="15081" width="24.140625" style="425" customWidth="1"/>
    <col min="15082" max="15083" width="0" style="425" hidden="1" customWidth="1"/>
    <col min="15084" max="15084" width="61.42578125" style="425" customWidth="1"/>
    <col min="15085" max="15085" width="62.140625" style="425" customWidth="1"/>
    <col min="15086" max="15089" width="0" style="425" hidden="1" customWidth="1"/>
    <col min="15090" max="15334" width="9.140625" style="425"/>
    <col min="15335" max="15335" width="5.5703125" style="425" customWidth="1"/>
    <col min="15336" max="15336" width="58" style="425" customWidth="1"/>
    <col min="15337" max="15337" width="24.140625" style="425" customWidth="1"/>
    <col min="15338" max="15339" width="0" style="425" hidden="1" customWidth="1"/>
    <col min="15340" max="15340" width="61.42578125" style="425" customWidth="1"/>
    <col min="15341" max="15341" width="62.140625" style="425" customWidth="1"/>
    <col min="15342" max="15345" width="0" style="425" hidden="1" customWidth="1"/>
    <col min="15346" max="15590" width="9.140625" style="425"/>
    <col min="15591" max="15591" width="5.5703125" style="425" customWidth="1"/>
    <col min="15592" max="15592" width="58" style="425" customWidth="1"/>
    <col min="15593" max="15593" width="24.140625" style="425" customWidth="1"/>
    <col min="15594" max="15595" width="0" style="425" hidden="1" customWidth="1"/>
    <col min="15596" max="15596" width="61.42578125" style="425" customWidth="1"/>
    <col min="15597" max="15597" width="62.140625" style="425" customWidth="1"/>
    <col min="15598" max="15601" width="0" style="425" hidden="1" customWidth="1"/>
    <col min="15602" max="15846" width="9.140625" style="425"/>
    <col min="15847" max="15847" width="5.5703125" style="425" customWidth="1"/>
    <col min="15848" max="15848" width="58" style="425" customWidth="1"/>
    <col min="15849" max="15849" width="24.140625" style="425" customWidth="1"/>
    <col min="15850" max="15851" width="0" style="425" hidden="1" customWidth="1"/>
    <col min="15852" max="15852" width="61.42578125" style="425" customWidth="1"/>
    <col min="15853" max="15853" width="62.140625" style="425" customWidth="1"/>
    <col min="15854" max="15857" width="0" style="425" hidden="1" customWidth="1"/>
    <col min="15858" max="16102" width="9.140625" style="425"/>
    <col min="16103" max="16103" width="5.5703125" style="425" customWidth="1"/>
    <col min="16104" max="16104" width="58" style="425" customWidth="1"/>
    <col min="16105" max="16105" width="24.140625" style="425" customWidth="1"/>
    <col min="16106" max="16107" width="0" style="425" hidden="1" customWidth="1"/>
    <col min="16108" max="16108" width="61.42578125" style="425" customWidth="1"/>
    <col min="16109" max="16109" width="62.140625" style="425" customWidth="1"/>
    <col min="16110" max="16113" width="0" style="425" hidden="1" customWidth="1"/>
    <col min="16114" max="16357" width="9.140625" style="425"/>
    <col min="16358" max="16384" width="8.85546875" style="425" customWidth="1"/>
  </cols>
  <sheetData>
    <row r="1" spans="2:6">
      <c r="C1" s="426" t="s">
        <v>107</v>
      </c>
    </row>
    <row r="2" spans="2:6">
      <c r="C2" s="429">
        <v>44682</v>
      </c>
    </row>
    <row r="3" spans="2:6">
      <c r="B3" s="431"/>
      <c r="C3" s="430" t="s">
        <v>108</v>
      </c>
    </row>
    <row r="4" spans="2:6" ht="24.95" customHeight="1" thickBot="1">
      <c r="B4" s="432" t="s">
        <v>109</v>
      </c>
      <c r="C4" s="433" t="s">
        <v>650</v>
      </c>
      <c r="D4" s="432" t="s">
        <v>110</v>
      </c>
      <c r="E4" s="434" t="s">
        <v>111</v>
      </c>
      <c r="F4" s="434" t="s">
        <v>112</v>
      </c>
    </row>
    <row r="5" spans="2:6" ht="39.950000000000003" customHeight="1">
      <c r="B5" s="988" t="s">
        <v>113</v>
      </c>
      <c r="C5" s="437">
        <v>20</v>
      </c>
      <c r="D5" s="1071" t="s">
        <v>114</v>
      </c>
      <c r="E5" s="1069" t="s">
        <v>115</v>
      </c>
      <c r="F5" s="1069" t="s">
        <v>704</v>
      </c>
    </row>
    <row r="6" spans="2:6" ht="42.6" customHeight="1" thickBot="1">
      <c r="B6" s="987" t="s">
        <v>116</v>
      </c>
      <c r="C6" s="440">
        <f>C5*2080</f>
        <v>41600</v>
      </c>
      <c r="D6" s="1072"/>
      <c r="E6" s="1070"/>
      <c r="F6" s="1070"/>
    </row>
    <row r="7" spans="2:6">
      <c r="B7" s="435" t="s">
        <v>117</v>
      </c>
      <c r="C7" s="437">
        <f>'[14]DC  CNA  DC III'!I19</f>
        <v>25.580080000000002</v>
      </c>
      <c r="D7" s="441" t="s">
        <v>118</v>
      </c>
      <c r="E7" s="1069" t="s">
        <v>119</v>
      </c>
      <c r="F7" s="1069" t="s">
        <v>564</v>
      </c>
    </row>
    <row r="8" spans="2:6" ht="46.5" customHeight="1" thickBot="1">
      <c r="B8" s="442" t="s">
        <v>120</v>
      </c>
      <c r="C8" s="443">
        <f>C7*2080</f>
        <v>53206.566400000003</v>
      </c>
      <c r="D8" s="427" t="s">
        <v>703</v>
      </c>
      <c r="E8" s="1073"/>
      <c r="F8" s="1073"/>
    </row>
    <row r="9" spans="2:6" ht="26.1" customHeight="1">
      <c r="B9" s="435" t="s">
        <v>122</v>
      </c>
      <c r="C9" s="437">
        <f>'[14]DC  CNA  DC III'!I11</f>
        <v>19.121599999999997</v>
      </c>
      <c r="D9" s="441"/>
      <c r="E9" s="1069" t="s">
        <v>123</v>
      </c>
      <c r="F9" s="1069" t="s">
        <v>124</v>
      </c>
    </row>
    <row r="10" spans="2:6" ht="27" thickBot="1">
      <c r="B10" s="439" t="s">
        <v>125</v>
      </c>
      <c r="C10" s="440">
        <f>'[14]DC  CNA  DC III'!J11</f>
        <v>39772.927999999993</v>
      </c>
      <c r="D10" s="444"/>
      <c r="E10" s="1070"/>
      <c r="F10" s="1070"/>
    </row>
    <row r="11" spans="2:6">
      <c r="B11" s="435" t="s">
        <v>126</v>
      </c>
      <c r="C11" s="437">
        <f>'[14]Case Social Worker.Manager'!J4</f>
        <v>28.180799999999998</v>
      </c>
      <c r="D11" s="441" t="s">
        <v>127</v>
      </c>
      <c r="E11" s="1069" t="s">
        <v>128</v>
      </c>
      <c r="F11" s="1069" t="s">
        <v>129</v>
      </c>
    </row>
    <row r="12" spans="2:6" ht="27" thickBot="1">
      <c r="B12" s="442" t="s">
        <v>130</v>
      </c>
      <c r="C12" s="443">
        <f>C11*2080</f>
        <v>58616.063999999998</v>
      </c>
      <c r="D12" s="425" t="s">
        <v>131</v>
      </c>
      <c r="E12" s="1073"/>
      <c r="F12" s="1073"/>
    </row>
    <row r="13" spans="2:6" ht="52.5">
      <c r="B13" s="445" t="s">
        <v>132</v>
      </c>
      <c r="C13" s="437">
        <f>'[14]Case Social Worker.Manager'!J11</f>
        <v>30.9283</v>
      </c>
      <c r="D13" s="441" t="s">
        <v>133</v>
      </c>
      <c r="E13" s="1069" t="s">
        <v>134</v>
      </c>
      <c r="F13" s="1069" t="s">
        <v>565</v>
      </c>
    </row>
    <row r="14" spans="2:6" ht="53.25" thickBot="1">
      <c r="B14" s="446" t="s">
        <v>135</v>
      </c>
      <c r="C14" s="440">
        <f>C13*2080</f>
        <v>64330.864000000001</v>
      </c>
      <c r="D14" s="444" t="s">
        <v>136</v>
      </c>
      <c r="E14" s="1070"/>
      <c r="F14" s="1070"/>
    </row>
    <row r="15" spans="2:6">
      <c r="B15" s="435" t="s">
        <v>137</v>
      </c>
      <c r="C15" s="437">
        <f>[14]Nursing!J2</f>
        <v>31.575200000000002</v>
      </c>
      <c r="D15" s="441"/>
      <c r="E15" s="1069" t="s">
        <v>138</v>
      </c>
      <c r="F15" s="1069" t="s">
        <v>139</v>
      </c>
    </row>
    <row r="16" spans="2:6" ht="27" thickBot="1">
      <c r="B16" s="439" t="s">
        <v>140</v>
      </c>
      <c r="C16" s="440">
        <f>C15*2080</f>
        <v>65676.416000000012</v>
      </c>
      <c r="D16" s="444" t="s">
        <v>651</v>
      </c>
      <c r="E16" s="1070"/>
      <c r="F16" s="1070"/>
    </row>
    <row r="17" spans="2:6">
      <c r="B17" s="435" t="s">
        <v>141</v>
      </c>
      <c r="C17" s="437">
        <f>[14]Clinical!J6</f>
        <v>38.753100000000003</v>
      </c>
      <c r="D17" s="441" t="s">
        <v>142</v>
      </c>
      <c r="E17" s="1069" t="s">
        <v>143</v>
      </c>
      <c r="F17" s="1069" t="s">
        <v>566</v>
      </c>
    </row>
    <row r="18" spans="2:6" ht="27" thickBot="1">
      <c r="B18" s="439" t="s">
        <v>144</v>
      </c>
      <c r="C18" s="440">
        <f>C17*2080</f>
        <v>80606.448000000004</v>
      </c>
      <c r="D18" s="444"/>
      <c r="E18" s="1070"/>
      <c r="F18" s="1070"/>
    </row>
    <row r="19" spans="2:6">
      <c r="B19" s="435" t="s">
        <v>145</v>
      </c>
      <c r="C19" s="436">
        <f>[14]Therapies!M2</f>
        <v>32.740400000000001</v>
      </c>
      <c r="D19" s="441"/>
      <c r="E19" s="1069" t="s">
        <v>146</v>
      </c>
      <c r="F19" s="1069" t="s">
        <v>147</v>
      </c>
    </row>
    <row r="20" spans="2:6" ht="27" thickBot="1">
      <c r="B20" s="439" t="s">
        <v>148</v>
      </c>
      <c r="C20" s="440">
        <f>C19*2080</f>
        <v>68100.032000000007</v>
      </c>
      <c r="D20" s="444"/>
      <c r="E20" s="1070"/>
      <c r="F20" s="1070"/>
    </row>
    <row r="21" spans="2:6">
      <c r="B21" s="442" t="s">
        <v>149</v>
      </c>
      <c r="C21" s="447">
        <f>[14]Management!J2</f>
        <v>38.180400000000006</v>
      </c>
      <c r="D21" s="425" t="s">
        <v>150</v>
      </c>
      <c r="E21" s="1069" t="s">
        <v>151</v>
      </c>
      <c r="F21" s="1074" t="s">
        <v>152</v>
      </c>
    </row>
    <row r="22" spans="2:6" ht="27" thickBot="1">
      <c r="B22" s="439" t="s">
        <v>153</v>
      </c>
      <c r="C22" s="440">
        <f>C21*2080</f>
        <v>79415.232000000018</v>
      </c>
      <c r="D22" s="444" t="s">
        <v>154</v>
      </c>
      <c r="E22" s="1070"/>
      <c r="F22" s="1075"/>
    </row>
    <row r="23" spans="2:6" ht="39.950000000000003" customHeight="1">
      <c r="B23" s="989" t="s">
        <v>702</v>
      </c>
      <c r="C23" s="447">
        <f>[14]Therapies!M8</f>
        <v>38.017499999999998</v>
      </c>
      <c r="D23" s="425" t="s">
        <v>156</v>
      </c>
      <c r="E23" s="1069" t="s">
        <v>134</v>
      </c>
      <c r="F23" s="1069" t="s">
        <v>701</v>
      </c>
    </row>
    <row r="24" spans="2:6" ht="39.950000000000003" customHeight="1" thickBot="1">
      <c r="B24" s="987" t="s">
        <v>700</v>
      </c>
      <c r="C24" s="440">
        <f>C23*2080</f>
        <v>79076.399999999994</v>
      </c>
      <c r="D24" s="444"/>
      <c r="E24" s="1070"/>
      <c r="F24" s="1070"/>
    </row>
    <row r="25" spans="2:6">
      <c r="B25" s="442" t="s">
        <v>159</v>
      </c>
      <c r="C25" s="447">
        <f>[14]Therapies!M14</f>
        <v>41.25168</v>
      </c>
      <c r="D25" s="425" t="s">
        <v>160</v>
      </c>
      <c r="E25" s="1069" t="s">
        <v>134</v>
      </c>
      <c r="F25" s="1069" t="s">
        <v>161</v>
      </c>
    </row>
    <row r="26" spans="2:6" ht="27" thickBot="1">
      <c r="B26" s="439" t="s">
        <v>162</v>
      </c>
      <c r="C26" s="443">
        <f>C25*2080</f>
        <v>85803.494399999996</v>
      </c>
      <c r="E26" s="1070"/>
      <c r="F26" s="1070"/>
    </row>
    <row r="27" spans="2:6">
      <c r="B27" s="435" t="s">
        <v>163</v>
      </c>
      <c r="C27" s="437">
        <f>[14]Clinical!J12</f>
        <v>48.742200000000004</v>
      </c>
      <c r="D27" s="1076" t="s">
        <v>567</v>
      </c>
      <c r="E27" s="1069" t="s">
        <v>164</v>
      </c>
      <c r="F27" s="1069" t="s">
        <v>568</v>
      </c>
    </row>
    <row r="28" spans="2:6" ht="34.5" customHeight="1" thickBot="1">
      <c r="B28" s="439" t="s">
        <v>165</v>
      </c>
      <c r="C28" s="440">
        <f>C27*2080</f>
        <v>101383.77600000001</v>
      </c>
      <c r="D28" s="1077"/>
      <c r="E28" s="1070"/>
      <c r="F28" s="1070"/>
    </row>
    <row r="29" spans="2:6">
      <c r="B29" s="988" t="s">
        <v>699</v>
      </c>
      <c r="C29" s="437">
        <f>[14]Therapies!M18</f>
        <v>42.756720000000001</v>
      </c>
      <c r="D29" s="441"/>
      <c r="E29" s="1069" t="s">
        <v>134</v>
      </c>
      <c r="F29" s="1069" t="s">
        <v>698</v>
      </c>
    </row>
    <row r="30" spans="2:6" ht="27" thickBot="1">
      <c r="B30" s="987" t="s">
        <v>697</v>
      </c>
      <c r="C30" s="440">
        <f>C29*2080</f>
        <v>88933.977599999998</v>
      </c>
      <c r="D30" s="444"/>
      <c r="E30" s="1070"/>
      <c r="F30" s="1070"/>
    </row>
    <row r="31" spans="2:6">
      <c r="B31" s="435" t="s">
        <v>169</v>
      </c>
      <c r="C31" s="437">
        <f>[14]Nursing!J6</f>
        <v>49.162799999999997</v>
      </c>
      <c r="D31" s="441"/>
      <c r="E31" s="1069" t="s">
        <v>170</v>
      </c>
      <c r="F31" s="1069" t="s">
        <v>171</v>
      </c>
    </row>
    <row r="32" spans="2:6" ht="38.450000000000003" customHeight="1" thickBot="1">
      <c r="B32" s="439" t="s">
        <v>172</v>
      </c>
      <c r="C32" s="440">
        <f>C31*2080</f>
        <v>102258.624</v>
      </c>
      <c r="D32" s="444"/>
      <c r="E32" s="1070"/>
      <c r="F32" s="1070"/>
    </row>
    <row r="33" spans="2:6">
      <c r="B33" s="435" t="s">
        <v>173</v>
      </c>
      <c r="C33" s="437">
        <f>[14]Nursing!J11</f>
        <v>65.162400000000005</v>
      </c>
      <c r="D33" s="441"/>
      <c r="E33" s="1069" t="s">
        <v>174</v>
      </c>
      <c r="F33" s="1069" t="s">
        <v>175</v>
      </c>
    </row>
    <row r="34" spans="2:6" ht="27" thickBot="1">
      <c r="B34" s="439" t="s">
        <v>176</v>
      </c>
      <c r="C34" s="440">
        <f>C33*2080</f>
        <v>135537.79200000002</v>
      </c>
      <c r="D34" s="444"/>
      <c r="E34" s="1070"/>
      <c r="F34" s="1070"/>
    </row>
    <row r="36" spans="2:6" ht="52.5">
      <c r="B36" s="986" t="s">
        <v>696</v>
      </c>
      <c r="C36" s="443">
        <f>C6</f>
        <v>41600</v>
      </c>
    </row>
    <row r="37" spans="2:6">
      <c r="C37" s="449"/>
    </row>
    <row r="38" spans="2:6">
      <c r="B38" s="450" t="s">
        <v>569</v>
      </c>
      <c r="C38" s="451">
        <v>0.27379999999999999</v>
      </c>
      <c r="D38" s="425" t="s">
        <v>652</v>
      </c>
    </row>
    <row r="39" spans="2:6" ht="34.35" customHeight="1">
      <c r="B39" s="450"/>
      <c r="C39" s="449"/>
      <c r="D39" s="1078" t="s">
        <v>571</v>
      </c>
      <c r="E39" s="1078"/>
      <c r="F39" s="425"/>
    </row>
    <row r="40" spans="2:6">
      <c r="C40" s="449"/>
    </row>
    <row r="41" spans="2:6">
      <c r="B41" s="450" t="s">
        <v>178</v>
      </c>
      <c r="C41" s="452">
        <v>0.12</v>
      </c>
      <c r="D41" s="425" t="s">
        <v>179</v>
      </c>
    </row>
    <row r="42" spans="2:6">
      <c r="B42" s="450"/>
      <c r="C42" s="428"/>
    </row>
    <row r="43" spans="2:6">
      <c r="B43" s="1079" t="s">
        <v>572</v>
      </c>
      <c r="C43" s="1079"/>
      <c r="D43" s="1079"/>
    </row>
    <row r="44" spans="2:6">
      <c r="B44" s="985" t="s">
        <v>695</v>
      </c>
      <c r="C44" s="443">
        <v>247470</v>
      </c>
      <c r="D44" s="425" t="s">
        <v>694</v>
      </c>
    </row>
    <row r="45" spans="2:6">
      <c r="B45" s="450" t="s">
        <v>181</v>
      </c>
      <c r="C45" s="443">
        <v>252850</v>
      </c>
      <c r="D45" s="425" t="s">
        <v>693</v>
      </c>
    </row>
    <row r="46" spans="2:6">
      <c r="B46" s="450" t="s">
        <v>575</v>
      </c>
      <c r="C46" s="443">
        <f>'[14]M2022 53_PCT'!N33</f>
        <v>135424.64000000001</v>
      </c>
      <c r="D46" s="425" t="s">
        <v>692</v>
      </c>
    </row>
    <row r="47" spans="2:6">
      <c r="B47" s="450" t="s">
        <v>691</v>
      </c>
      <c r="C47" s="984">
        <f>C6</f>
        <v>41600</v>
      </c>
      <c r="D47" s="425" t="s">
        <v>690</v>
      </c>
    </row>
    <row r="48" spans="2:6">
      <c r="B48" s="450" t="s">
        <v>689</v>
      </c>
      <c r="C48" s="984">
        <f>AVERAGE(C6,C8)</f>
        <v>47403.283200000005</v>
      </c>
      <c r="D48" s="425" t="s">
        <v>688</v>
      </c>
    </row>
    <row r="49" spans="2:6">
      <c r="B49" s="450" t="s">
        <v>687</v>
      </c>
      <c r="C49" s="443">
        <f>C8</f>
        <v>53206.566400000003</v>
      </c>
      <c r="D49" s="425" t="s">
        <v>686</v>
      </c>
    </row>
    <row r="50" spans="2:6">
      <c r="B50" s="450" t="s">
        <v>685</v>
      </c>
      <c r="C50" s="443">
        <f>'[14]M2022 53_PCT'!N34</f>
        <v>40890.303999999996</v>
      </c>
      <c r="D50" s="425" t="s">
        <v>684</v>
      </c>
    </row>
    <row r="51" spans="2:6">
      <c r="B51" s="450" t="s">
        <v>683</v>
      </c>
      <c r="C51" s="984">
        <f>'[14]M2022 53_PCT'!N37</f>
        <v>50652.160000000003</v>
      </c>
      <c r="D51" s="425" t="s">
        <v>682</v>
      </c>
    </row>
    <row r="52" spans="2:6">
      <c r="B52" s="450" t="s">
        <v>681</v>
      </c>
      <c r="C52" s="984">
        <f>AVERAGE('[14]M2022 53_PCT'!N35,'[14]M2022 53_PCT'!N36)</f>
        <v>57014.464000000007</v>
      </c>
      <c r="D52" s="425" t="s">
        <v>680</v>
      </c>
    </row>
    <row r="53" spans="2:6">
      <c r="B53" s="450"/>
      <c r="C53" s="984"/>
    </row>
    <row r="54" spans="2:6">
      <c r="B54" s="450"/>
      <c r="C54" s="984"/>
    </row>
    <row r="55" spans="2:6">
      <c r="B55" s="1080" t="s">
        <v>679</v>
      </c>
      <c r="C55" s="1080"/>
      <c r="D55" s="1080"/>
      <c r="E55" s="1080"/>
      <c r="F55" s="1080"/>
    </row>
    <row r="56" spans="2:6">
      <c r="B56" s="983" t="s">
        <v>678</v>
      </c>
      <c r="C56" s="425" t="s">
        <v>677</v>
      </c>
    </row>
    <row r="57" spans="2:6" ht="66.599999999999994" customHeight="1">
      <c r="B57" s="982" t="s">
        <v>676</v>
      </c>
      <c r="C57" s="1078" t="s">
        <v>675</v>
      </c>
      <c r="D57" s="1078"/>
      <c r="E57" s="1078"/>
      <c r="F57" s="1078"/>
    </row>
  </sheetData>
  <mergeCells count="36">
    <mergeCell ref="D39:E39"/>
    <mergeCell ref="B43:D43"/>
    <mergeCell ref="B55:F55"/>
    <mergeCell ref="C57:F57"/>
    <mergeCell ref="E29:E30"/>
    <mergeCell ref="F29:F30"/>
    <mergeCell ref="E31:E32"/>
    <mergeCell ref="F31:F32"/>
    <mergeCell ref="E33:E34"/>
    <mergeCell ref="F33:F34"/>
    <mergeCell ref="E23:E24"/>
    <mergeCell ref="F23:F24"/>
    <mergeCell ref="E25:E26"/>
    <mergeCell ref="F25:F26"/>
    <mergeCell ref="D27:D28"/>
    <mergeCell ref="E27:E28"/>
    <mergeCell ref="F27:F28"/>
    <mergeCell ref="E17:E18"/>
    <mergeCell ref="F17:F18"/>
    <mergeCell ref="E19:E20"/>
    <mergeCell ref="F19:F20"/>
    <mergeCell ref="E21:E22"/>
    <mergeCell ref="F21:F22"/>
    <mergeCell ref="E11:E12"/>
    <mergeCell ref="F11:F12"/>
    <mergeCell ref="E13:E14"/>
    <mergeCell ref="F13:F14"/>
    <mergeCell ref="E15:E16"/>
    <mergeCell ref="F15:F16"/>
    <mergeCell ref="E9:E10"/>
    <mergeCell ref="F9:F10"/>
    <mergeCell ref="D5:D6"/>
    <mergeCell ref="E5:E6"/>
    <mergeCell ref="F5:F6"/>
    <mergeCell ref="E7:E8"/>
    <mergeCell ref="F7:F8"/>
  </mergeCells>
  <pageMargins left="0.7" right="0.7" top="0.75" bottom="0.75" header="0.3" footer="0.3"/>
  <pageSetup scale="55" fitToHeight="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AE2F5-3A14-4D99-A12F-593EB8ABCD71}">
  <sheetPr>
    <pageSetUpPr fitToPage="1"/>
  </sheetPr>
  <dimension ref="B1:F50"/>
  <sheetViews>
    <sheetView showGridLines="0" topLeftCell="A36" zoomScale="50" zoomScaleNormal="50" workbookViewId="0">
      <selection activeCell="E60" sqref="E60"/>
    </sheetView>
  </sheetViews>
  <sheetFormatPr defaultRowHeight="26.25"/>
  <cols>
    <col min="1" max="1" width="5.5703125" style="425" customWidth="1"/>
    <col min="2" max="2" width="78.42578125" style="425" customWidth="1"/>
    <col min="3" max="3" width="24.140625" style="425" customWidth="1"/>
    <col min="4" max="4" width="69.140625" style="425" customWidth="1"/>
    <col min="5" max="5" width="83.5703125" style="427" customWidth="1"/>
    <col min="6" max="6" width="44" style="427" customWidth="1"/>
    <col min="7" max="247" width="9.140625" style="425"/>
    <col min="248" max="248" width="5.5703125" style="425" customWidth="1"/>
    <col min="249" max="249" width="58" style="425" customWidth="1"/>
    <col min="250" max="250" width="24.140625" style="425" customWidth="1"/>
    <col min="251" max="252" width="0" style="425" hidden="1" customWidth="1"/>
    <col min="253" max="253" width="61.42578125" style="425" customWidth="1"/>
    <col min="254" max="254" width="62.140625" style="425" customWidth="1"/>
    <col min="255" max="258" width="0" style="425" hidden="1" customWidth="1"/>
    <col min="259" max="503" width="9.140625" style="425"/>
    <col min="504" max="504" width="5.5703125" style="425" customWidth="1"/>
    <col min="505" max="505" width="58" style="425" customWidth="1"/>
    <col min="506" max="506" width="24.140625" style="425" customWidth="1"/>
    <col min="507" max="508" width="0" style="425" hidden="1" customWidth="1"/>
    <col min="509" max="509" width="61.42578125" style="425" customWidth="1"/>
    <col min="510" max="510" width="62.140625" style="425" customWidth="1"/>
    <col min="511" max="514" width="0" style="425" hidden="1" customWidth="1"/>
    <col min="515" max="759" width="9.140625" style="425"/>
    <col min="760" max="760" width="5.5703125" style="425" customWidth="1"/>
    <col min="761" max="761" width="58" style="425" customWidth="1"/>
    <col min="762" max="762" width="24.140625" style="425" customWidth="1"/>
    <col min="763" max="764" width="0" style="425" hidden="1" customWidth="1"/>
    <col min="765" max="765" width="61.42578125" style="425" customWidth="1"/>
    <col min="766" max="766" width="62.140625" style="425" customWidth="1"/>
    <col min="767" max="770" width="0" style="425" hidden="1" customWidth="1"/>
    <col min="771" max="1015" width="9.140625" style="425"/>
    <col min="1016" max="1016" width="5.5703125" style="425" customWidth="1"/>
    <col min="1017" max="1017" width="58" style="425" customWidth="1"/>
    <col min="1018" max="1018" width="24.140625" style="425" customWidth="1"/>
    <col min="1019" max="1020" width="0" style="425" hidden="1" customWidth="1"/>
    <col min="1021" max="1021" width="61.42578125" style="425" customWidth="1"/>
    <col min="1022" max="1022" width="62.140625" style="425" customWidth="1"/>
    <col min="1023" max="1026" width="0" style="425" hidden="1" customWidth="1"/>
    <col min="1027" max="1271" width="9.140625" style="425"/>
    <col min="1272" max="1272" width="5.5703125" style="425" customWidth="1"/>
    <col min="1273" max="1273" width="58" style="425" customWidth="1"/>
    <col min="1274" max="1274" width="24.140625" style="425" customWidth="1"/>
    <col min="1275" max="1276" width="0" style="425" hidden="1" customWidth="1"/>
    <col min="1277" max="1277" width="61.42578125" style="425" customWidth="1"/>
    <col min="1278" max="1278" width="62.140625" style="425" customWidth="1"/>
    <col min="1279" max="1282" width="0" style="425" hidden="1" customWidth="1"/>
    <col min="1283" max="1527" width="9.140625" style="425"/>
    <col min="1528" max="1528" width="5.5703125" style="425" customWidth="1"/>
    <col min="1529" max="1529" width="58" style="425" customWidth="1"/>
    <col min="1530" max="1530" width="24.140625" style="425" customWidth="1"/>
    <col min="1531" max="1532" width="0" style="425" hidden="1" customWidth="1"/>
    <col min="1533" max="1533" width="61.42578125" style="425" customWidth="1"/>
    <col min="1534" max="1534" width="62.140625" style="425" customWidth="1"/>
    <col min="1535" max="1538" width="0" style="425" hidden="1" customWidth="1"/>
    <col min="1539" max="1783" width="9.140625" style="425"/>
    <col min="1784" max="1784" width="5.5703125" style="425" customWidth="1"/>
    <col min="1785" max="1785" width="58" style="425" customWidth="1"/>
    <col min="1786" max="1786" width="24.140625" style="425" customWidth="1"/>
    <col min="1787" max="1788" width="0" style="425" hidden="1" customWidth="1"/>
    <col min="1789" max="1789" width="61.42578125" style="425" customWidth="1"/>
    <col min="1790" max="1790" width="62.140625" style="425" customWidth="1"/>
    <col min="1791" max="1794" width="0" style="425" hidden="1" customWidth="1"/>
    <col min="1795" max="2039" width="9.140625" style="425"/>
    <col min="2040" max="2040" width="5.5703125" style="425" customWidth="1"/>
    <col min="2041" max="2041" width="58" style="425" customWidth="1"/>
    <col min="2042" max="2042" width="24.140625" style="425" customWidth="1"/>
    <col min="2043" max="2044" width="0" style="425" hidden="1" customWidth="1"/>
    <col min="2045" max="2045" width="61.42578125" style="425" customWidth="1"/>
    <col min="2046" max="2046" width="62.140625" style="425" customWidth="1"/>
    <col min="2047" max="2050" width="0" style="425" hidden="1" customWidth="1"/>
    <col min="2051" max="2295" width="9.140625" style="425"/>
    <col min="2296" max="2296" width="5.5703125" style="425" customWidth="1"/>
    <col min="2297" max="2297" width="58" style="425" customWidth="1"/>
    <col min="2298" max="2298" width="24.140625" style="425" customWidth="1"/>
    <col min="2299" max="2300" width="0" style="425" hidden="1" customWidth="1"/>
    <col min="2301" max="2301" width="61.42578125" style="425" customWidth="1"/>
    <col min="2302" max="2302" width="62.140625" style="425" customWidth="1"/>
    <col min="2303" max="2306" width="0" style="425" hidden="1" customWidth="1"/>
    <col min="2307" max="2551" width="9.140625" style="425"/>
    <col min="2552" max="2552" width="5.5703125" style="425" customWidth="1"/>
    <col min="2553" max="2553" width="58" style="425" customWidth="1"/>
    <col min="2554" max="2554" width="24.140625" style="425" customWidth="1"/>
    <col min="2555" max="2556" width="0" style="425" hidden="1" customWidth="1"/>
    <col min="2557" max="2557" width="61.42578125" style="425" customWidth="1"/>
    <col min="2558" max="2558" width="62.140625" style="425" customWidth="1"/>
    <col min="2559" max="2562" width="0" style="425" hidden="1" customWidth="1"/>
    <col min="2563" max="2807" width="9.140625" style="425"/>
    <col min="2808" max="2808" width="5.5703125" style="425" customWidth="1"/>
    <col min="2809" max="2809" width="58" style="425" customWidth="1"/>
    <col min="2810" max="2810" width="24.140625" style="425" customWidth="1"/>
    <col min="2811" max="2812" width="0" style="425" hidden="1" customWidth="1"/>
    <col min="2813" max="2813" width="61.42578125" style="425" customWidth="1"/>
    <col min="2814" max="2814" width="62.140625" style="425" customWidth="1"/>
    <col min="2815" max="2818" width="0" style="425" hidden="1" customWidth="1"/>
    <col min="2819" max="3063" width="9.140625" style="425"/>
    <col min="3064" max="3064" width="5.5703125" style="425" customWidth="1"/>
    <col min="3065" max="3065" width="58" style="425" customWidth="1"/>
    <col min="3066" max="3066" width="24.140625" style="425" customWidth="1"/>
    <col min="3067" max="3068" width="0" style="425" hidden="1" customWidth="1"/>
    <col min="3069" max="3069" width="61.42578125" style="425" customWidth="1"/>
    <col min="3070" max="3070" width="62.140625" style="425" customWidth="1"/>
    <col min="3071" max="3074" width="0" style="425" hidden="1" customWidth="1"/>
    <col min="3075" max="3319" width="9.140625" style="425"/>
    <col min="3320" max="3320" width="5.5703125" style="425" customWidth="1"/>
    <col min="3321" max="3321" width="58" style="425" customWidth="1"/>
    <col min="3322" max="3322" width="24.140625" style="425" customWidth="1"/>
    <col min="3323" max="3324" width="0" style="425" hidden="1" customWidth="1"/>
    <col min="3325" max="3325" width="61.42578125" style="425" customWidth="1"/>
    <col min="3326" max="3326" width="62.140625" style="425" customWidth="1"/>
    <col min="3327" max="3330" width="0" style="425" hidden="1" customWidth="1"/>
    <col min="3331" max="3575" width="9.140625" style="425"/>
    <col min="3576" max="3576" width="5.5703125" style="425" customWidth="1"/>
    <col min="3577" max="3577" width="58" style="425" customWidth="1"/>
    <col min="3578" max="3578" width="24.140625" style="425" customWidth="1"/>
    <col min="3579" max="3580" width="0" style="425" hidden="1" customWidth="1"/>
    <col min="3581" max="3581" width="61.42578125" style="425" customWidth="1"/>
    <col min="3582" max="3582" width="62.140625" style="425" customWidth="1"/>
    <col min="3583" max="3586" width="0" style="425" hidden="1" customWidth="1"/>
    <col min="3587" max="3831" width="9.140625" style="425"/>
    <col min="3832" max="3832" width="5.5703125" style="425" customWidth="1"/>
    <col min="3833" max="3833" width="58" style="425" customWidth="1"/>
    <col min="3834" max="3834" width="24.140625" style="425" customWidth="1"/>
    <col min="3835" max="3836" width="0" style="425" hidden="1" customWidth="1"/>
    <col min="3837" max="3837" width="61.42578125" style="425" customWidth="1"/>
    <col min="3838" max="3838" width="62.140625" style="425" customWidth="1"/>
    <col min="3839" max="3842" width="0" style="425" hidden="1" customWidth="1"/>
    <col min="3843" max="4087" width="9.140625" style="425"/>
    <col min="4088" max="4088" width="5.5703125" style="425" customWidth="1"/>
    <col min="4089" max="4089" width="58" style="425" customWidth="1"/>
    <col min="4090" max="4090" width="24.140625" style="425" customWidth="1"/>
    <col min="4091" max="4092" width="0" style="425" hidden="1" customWidth="1"/>
    <col min="4093" max="4093" width="61.42578125" style="425" customWidth="1"/>
    <col min="4094" max="4094" width="62.140625" style="425" customWidth="1"/>
    <col min="4095" max="4098" width="0" style="425" hidden="1" customWidth="1"/>
    <col min="4099" max="4343" width="9.140625" style="425"/>
    <col min="4344" max="4344" width="5.5703125" style="425" customWidth="1"/>
    <col min="4345" max="4345" width="58" style="425" customWidth="1"/>
    <col min="4346" max="4346" width="24.140625" style="425" customWidth="1"/>
    <col min="4347" max="4348" width="0" style="425" hidden="1" customWidth="1"/>
    <col min="4349" max="4349" width="61.42578125" style="425" customWidth="1"/>
    <col min="4350" max="4350" width="62.140625" style="425" customWidth="1"/>
    <col min="4351" max="4354" width="0" style="425" hidden="1" customWidth="1"/>
    <col min="4355" max="4599" width="9.140625" style="425"/>
    <col min="4600" max="4600" width="5.5703125" style="425" customWidth="1"/>
    <col min="4601" max="4601" width="58" style="425" customWidth="1"/>
    <col min="4602" max="4602" width="24.140625" style="425" customWidth="1"/>
    <col min="4603" max="4604" width="0" style="425" hidden="1" customWidth="1"/>
    <col min="4605" max="4605" width="61.42578125" style="425" customWidth="1"/>
    <col min="4606" max="4606" width="62.140625" style="425" customWidth="1"/>
    <col min="4607" max="4610" width="0" style="425" hidden="1" customWidth="1"/>
    <col min="4611" max="4855" width="9.140625" style="425"/>
    <col min="4856" max="4856" width="5.5703125" style="425" customWidth="1"/>
    <col min="4857" max="4857" width="58" style="425" customWidth="1"/>
    <col min="4858" max="4858" width="24.140625" style="425" customWidth="1"/>
    <col min="4859" max="4860" width="0" style="425" hidden="1" customWidth="1"/>
    <col min="4861" max="4861" width="61.42578125" style="425" customWidth="1"/>
    <col min="4862" max="4862" width="62.140625" style="425" customWidth="1"/>
    <col min="4863" max="4866" width="0" style="425" hidden="1" customWidth="1"/>
    <col min="4867" max="5111" width="9.140625" style="425"/>
    <col min="5112" max="5112" width="5.5703125" style="425" customWidth="1"/>
    <col min="5113" max="5113" width="58" style="425" customWidth="1"/>
    <col min="5114" max="5114" width="24.140625" style="425" customWidth="1"/>
    <col min="5115" max="5116" width="0" style="425" hidden="1" customWidth="1"/>
    <col min="5117" max="5117" width="61.42578125" style="425" customWidth="1"/>
    <col min="5118" max="5118" width="62.140625" style="425" customWidth="1"/>
    <col min="5119" max="5122" width="0" style="425" hidden="1" customWidth="1"/>
    <col min="5123" max="5367" width="9.140625" style="425"/>
    <col min="5368" max="5368" width="5.5703125" style="425" customWidth="1"/>
    <col min="5369" max="5369" width="58" style="425" customWidth="1"/>
    <col min="5370" max="5370" width="24.140625" style="425" customWidth="1"/>
    <col min="5371" max="5372" width="0" style="425" hidden="1" customWidth="1"/>
    <col min="5373" max="5373" width="61.42578125" style="425" customWidth="1"/>
    <col min="5374" max="5374" width="62.140625" style="425" customWidth="1"/>
    <col min="5375" max="5378" width="0" style="425" hidden="1" customWidth="1"/>
    <col min="5379" max="5623" width="9.140625" style="425"/>
    <col min="5624" max="5624" width="5.5703125" style="425" customWidth="1"/>
    <col min="5625" max="5625" width="58" style="425" customWidth="1"/>
    <col min="5626" max="5626" width="24.140625" style="425" customWidth="1"/>
    <col min="5627" max="5628" width="0" style="425" hidden="1" customWidth="1"/>
    <col min="5629" max="5629" width="61.42578125" style="425" customWidth="1"/>
    <col min="5630" max="5630" width="62.140625" style="425" customWidth="1"/>
    <col min="5631" max="5634" width="0" style="425" hidden="1" customWidth="1"/>
    <col min="5635" max="5879" width="9.140625" style="425"/>
    <col min="5880" max="5880" width="5.5703125" style="425" customWidth="1"/>
    <col min="5881" max="5881" width="58" style="425" customWidth="1"/>
    <col min="5882" max="5882" width="24.140625" style="425" customWidth="1"/>
    <col min="5883" max="5884" width="0" style="425" hidden="1" customWidth="1"/>
    <col min="5885" max="5885" width="61.42578125" style="425" customWidth="1"/>
    <col min="5886" max="5886" width="62.140625" style="425" customWidth="1"/>
    <col min="5887" max="5890" width="0" style="425" hidden="1" customWidth="1"/>
    <col min="5891" max="6135" width="9.140625" style="425"/>
    <col min="6136" max="6136" width="5.5703125" style="425" customWidth="1"/>
    <col min="6137" max="6137" width="58" style="425" customWidth="1"/>
    <col min="6138" max="6138" width="24.140625" style="425" customWidth="1"/>
    <col min="6139" max="6140" width="0" style="425" hidden="1" customWidth="1"/>
    <col min="6141" max="6141" width="61.42578125" style="425" customWidth="1"/>
    <col min="6142" max="6142" width="62.140625" style="425" customWidth="1"/>
    <col min="6143" max="6146" width="0" style="425" hidden="1" customWidth="1"/>
    <col min="6147" max="6391" width="9.140625" style="425"/>
    <col min="6392" max="6392" width="5.5703125" style="425" customWidth="1"/>
    <col min="6393" max="6393" width="58" style="425" customWidth="1"/>
    <col min="6394" max="6394" width="24.140625" style="425" customWidth="1"/>
    <col min="6395" max="6396" width="0" style="425" hidden="1" customWidth="1"/>
    <col min="6397" max="6397" width="61.42578125" style="425" customWidth="1"/>
    <col min="6398" max="6398" width="62.140625" style="425" customWidth="1"/>
    <col min="6399" max="6402" width="0" style="425" hidden="1" customWidth="1"/>
    <col min="6403" max="6647" width="9.140625" style="425"/>
    <col min="6648" max="6648" width="5.5703125" style="425" customWidth="1"/>
    <col min="6649" max="6649" width="58" style="425" customWidth="1"/>
    <col min="6650" max="6650" width="24.140625" style="425" customWidth="1"/>
    <col min="6651" max="6652" width="0" style="425" hidden="1" customWidth="1"/>
    <col min="6653" max="6653" width="61.42578125" style="425" customWidth="1"/>
    <col min="6654" max="6654" width="62.140625" style="425" customWidth="1"/>
    <col min="6655" max="6658" width="0" style="425" hidden="1" customWidth="1"/>
    <col min="6659" max="6903" width="9.140625" style="425"/>
    <col min="6904" max="6904" width="5.5703125" style="425" customWidth="1"/>
    <col min="6905" max="6905" width="58" style="425" customWidth="1"/>
    <col min="6906" max="6906" width="24.140625" style="425" customWidth="1"/>
    <col min="6907" max="6908" width="0" style="425" hidden="1" customWidth="1"/>
    <col min="6909" max="6909" width="61.42578125" style="425" customWidth="1"/>
    <col min="6910" max="6910" width="62.140625" style="425" customWidth="1"/>
    <col min="6911" max="6914" width="0" style="425" hidden="1" customWidth="1"/>
    <col min="6915" max="7159" width="9.140625" style="425"/>
    <col min="7160" max="7160" width="5.5703125" style="425" customWidth="1"/>
    <col min="7161" max="7161" width="58" style="425" customWidth="1"/>
    <col min="7162" max="7162" width="24.140625" style="425" customWidth="1"/>
    <col min="7163" max="7164" width="0" style="425" hidden="1" customWidth="1"/>
    <col min="7165" max="7165" width="61.42578125" style="425" customWidth="1"/>
    <col min="7166" max="7166" width="62.140625" style="425" customWidth="1"/>
    <col min="7167" max="7170" width="0" style="425" hidden="1" customWidth="1"/>
    <col min="7171" max="7415" width="9.140625" style="425"/>
    <col min="7416" max="7416" width="5.5703125" style="425" customWidth="1"/>
    <col min="7417" max="7417" width="58" style="425" customWidth="1"/>
    <col min="7418" max="7418" width="24.140625" style="425" customWidth="1"/>
    <col min="7419" max="7420" width="0" style="425" hidden="1" customWidth="1"/>
    <col min="7421" max="7421" width="61.42578125" style="425" customWidth="1"/>
    <col min="7422" max="7422" width="62.140625" style="425" customWidth="1"/>
    <col min="7423" max="7426" width="0" style="425" hidden="1" customWidth="1"/>
    <col min="7427" max="7671" width="9.140625" style="425"/>
    <col min="7672" max="7672" width="5.5703125" style="425" customWidth="1"/>
    <col min="7673" max="7673" width="58" style="425" customWidth="1"/>
    <col min="7674" max="7674" width="24.140625" style="425" customWidth="1"/>
    <col min="7675" max="7676" width="0" style="425" hidden="1" customWidth="1"/>
    <col min="7677" max="7677" width="61.42578125" style="425" customWidth="1"/>
    <col min="7678" max="7678" width="62.140625" style="425" customWidth="1"/>
    <col min="7679" max="7682" width="0" style="425" hidden="1" customWidth="1"/>
    <col min="7683" max="7927" width="9.140625" style="425"/>
    <col min="7928" max="7928" width="5.5703125" style="425" customWidth="1"/>
    <col min="7929" max="7929" width="58" style="425" customWidth="1"/>
    <col min="7930" max="7930" width="24.140625" style="425" customWidth="1"/>
    <col min="7931" max="7932" width="0" style="425" hidden="1" customWidth="1"/>
    <col min="7933" max="7933" width="61.42578125" style="425" customWidth="1"/>
    <col min="7934" max="7934" width="62.140625" style="425" customWidth="1"/>
    <col min="7935" max="7938" width="0" style="425" hidden="1" customWidth="1"/>
    <col min="7939" max="8183" width="9.140625" style="425"/>
    <col min="8184" max="8184" width="5.5703125" style="425" customWidth="1"/>
    <col min="8185" max="8185" width="58" style="425" customWidth="1"/>
    <col min="8186" max="8186" width="24.140625" style="425" customWidth="1"/>
    <col min="8187" max="8188" width="0" style="425" hidden="1" customWidth="1"/>
    <col min="8189" max="8189" width="61.42578125" style="425" customWidth="1"/>
    <col min="8190" max="8190" width="62.140625" style="425" customWidth="1"/>
    <col min="8191" max="8194" width="0" style="425" hidden="1" customWidth="1"/>
    <col min="8195" max="8439" width="9.140625" style="425"/>
    <col min="8440" max="8440" width="5.5703125" style="425" customWidth="1"/>
    <col min="8441" max="8441" width="58" style="425" customWidth="1"/>
    <col min="8442" max="8442" width="24.140625" style="425" customWidth="1"/>
    <col min="8443" max="8444" width="0" style="425" hidden="1" customWidth="1"/>
    <col min="8445" max="8445" width="61.42578125" style="425" customWidth="1"/>
    <col min="8446" max="8446" width="62.140625" style="425" customWidth="1"/>
    <col min="8447" max="8450" width="0" style="425" hidden="1" customWidth="1"/>
    <col min="8451" max="8695" width="9.140625" style="425"/>
    <col min="8696" max="8696" width="5.5703125" style="425" customWidth="1"/>
    <col min="8697" max="8697" width="58" style="425" customWidth="1"/>
    <col min="8698" max="8698" width="24.140625" style="425" customWidth="1"/>
    <col min="8699" max="8700" width="0" style="425" hidden="1" customWidth="1"/>
    <col min="8701" max="8701" width="61.42578125" style="425" customWidth="1"/>
    <col min="8702" max="8702" width="62.140625" style="425" customWidth="1"/>
    <col min="8703" max="8706" width="0" style="425" hidden="1" customWidth="1"/>
    <col min="8707" max="8951" width="9.140625" style="425"/>
    <col min="8952" max="8952" width="5.5703125" style="425" customWidth="1"/>
    <col min="8953" max="8953" width="58" style="425" customWidth="1"/>
    <col min="8954" max="8954" width="24.140625" style="425" customWidth="1"/>
    <col min="8955" max="8956" width="0" style="425" hidden="1" customWidth="1"/>
    <col min="8957" max="8957" width="61.42578125" style="425" customWidth="1"/>
    <col min="8958" max="8958" width="62.140625" style="425" customWidth="1"/>
    <col min="8959" max="8962" width="0" style="425" hidden="1" customWidth="1"/>
    <col min="8963" max="9207" width="9.140625" style="425"/>
    <col min="9208" max="9208" width="5.5703125" style="425" customWidth="1"/>
    <col min="9209" max="9209" width="58" style="425" customWidth="1"/>
    <col min="9210" max="9210" width="24.140625" style="425" customWidth="1"/>
    <col min="9211" max="9212" width="0" style="425" hidden="1" customWidth="1"/>
    <col min="9213" max="9213" width="61.42578125" style="425" customWidth="1"/>
    <col min="9214" max="9214" width="62.140625" style="425" customWidth="1"/>
    <col min="9215" max="9218" width="0" style="425" hidden="1" customWidth="1"/>
    <col min="9219" max="9463" width="9.140625" style="425"/>
    <col min="9464" max="9464" width="5.5703125" style="425" customWidth="1"/>
    <col min="9465" max="9465" width="58" style="425" customWidth="1"/>
    <col min="9466" max="9466" width="24.140625" style="425" customWidth="1"/>
    <col min="9467" max="9468" width="0" style="425" hidden="1" customWidth="1"/>
    <col min="9469" max="9469" width="61.42578125" style="425" customWidth="1"/>
    <col min="9470" max="9470" width="62.140625" style="425" customWidth="1"/>
    <col min="9471" max="9474" width="0" style="425" hidden="1" customWidth="1"/>
    <col min="9475" max="9719" width="9.140625" style="425"/>
    <col min="9720" max="9720" width="5.5703125" style="425" customWidth="1"/>
    <col min="9721" max="9721" width="58" style="425" customWidth="1"/>
    <col min="9722" max="9722" width="24.140625" style="425" customWidth="1"/>
    <col min="9723" max="9724" width="0" style="425" hidden="1" customWidth="1"/>
    <col min="9725" max="9725" width="61.42578125" style="425" customWidth="1"/>
    <col min="9726" max="9726" width="62.140625" style="425" customWidth="1"/>
    <col min="9727" max="9730" width="0" style="425" hidden="1" customWidth="1"/>
    <col min="9731" max="9975" width="9.140625" style="425"/>
    <col min="9976" max="9976" width="5.5703125" style="425" customWidth="1"/>
    <col min="9977" max="9977" width="58" style="425" customWidth="1"/>
    <col min="9978" max="9978" width="24.140625" style="425" customWidth="1"/>
    <col min="9979" max="9980" width="0" style="425" hidden="1" customWidth="1"/>
    <col min="9981" max="9981" width="61.42578125" style="425" customWidth="1"/>
    <col min="9982" max="9982" width="62.140625" style="425" customWidth="1"/>
    <col min="9983" max="9986" width="0" style="425" hidden="1" customWidth="1"/>
    <col min="9987" max="10231" width="9.140625" style="425"/>
    <col min="10232" max="10232" width="5.5703125" style="425" customWidth="1"/>
    <col min="10233" max="10233" width="58" style="425" customWidth="1"/>
    <col min="10234" max="10234" width="24.140625" style="425" customWidth="1"/>
    <col min="10235" max="10236" width="0" style="425" hidden="1" customWidth="1"/>
    <col min="10237" max="10237" width="61.42578125" style="425" customWidth="1"/>
    <col min="10238" max="10238" width="62.140625" style="425" customWidth="1"/>
    <col min="10239" max="10242" width="0" style="425" hidden="1" customWidth="1"/>
    <col min="10243" max="10487" width="9.140625" style="425"/>
    <col min="10488" max="10488" width="5.5703125" style="425" customWidth="1"/>
    <col min="10489" max="10489" width="58" style="425" customWidth="1"/>
    <col min="10490" max="10490" width="24.140625" style="425" customWidth="1"/>
    <col min="10491" max="10492" width="0" style="425" hidden="1" customWidth="1"/>
    <col min="10493" max="10493" width="61.42578125" style="425" customWidth="1"/>
    <col min="10494" max="10494" width="62.140625" style="425" customWidth="1"/>
    <col min="10495" max="10498" width="0" style="425" hidden="1" customWidth="1"/>
    <col min="10499" max="10743" width="9.140625" style="425"/>
    <col min="10744" max="10744" width="5.5703125" style="425" customWidth="1"/>
    <col min="10745" max="10745" width="58" style="425" customWidth="1"/>
    <col min="10746" max="10746" width="24.140625" style="425" customWidth="1"/>
    <col min="10747" max="10748" width="0" style="425" hidden="1" customWidth="1"/>
    <col min="10749" max="10749" width="61.42578125" style="425" customWidth="1"/>
    <col min="10750" max="10750" width="62.140625" style="425" customWidth="1"/>
    <col min="10751" max="10754" width="0" style="425" hidden="1" customWidth="1"/>
    <col min="10755" max="10999" width="9.140625" style="425"/>
    <col min="11000" max="11000" width="5.5703125" style="425" customWidth="1"/>
    <col min="11001" max="11001" width="58" style="425" customWidth="1"/>
    <col min="11002" max="11002" width="24.140625" style="425" customWidth="1"/>
    <col min="11003" max="11004" width="0" style="425" hidden="1" customWidth="1"/>
    <col min="11005" max="11005" width="61.42578125" style="425" customWidth="1"/>
    <col min="11006" max="11006" width="62.140625" style="425" customWidth="1"/>
    <col min="11007" max="11010" width="0" style="425" hidden="1" customWidth="1"/>
    <col min="11011" max="11255" width="9.140625" style="425"/>
    <col min="11256" max="11256" width="5.5703125" style="425" customWidth="1"/>
    <col min="11257" max="11257" width="58" style="425" customWidth="1"/>
    <col min="11258" max="11258" width="24.140625" style="425" customWidth="1"/>
    <col min="11259" max="11260" width="0" style="425" hidden="1" customWidth="1"/>
    <col min="11261" max="11261" width="61.42578125" style="425" customWidth="1"/>
    <col min="11262" max="11262" width="62.140625" style="425" customWidth="1"/>
    <col min="11263" max="11266" width="0" style="425" hidden="1" customWidth="1"/>
    <col min="11267" max="11511" width="9.140625" style="425"/>
    <col min="11512" max="11512" width="5.5703125" style="425" customWidth="1"/>
    <col min="11513" max="11513" width="58" style="425" customWidth="1"/>
    <col min="11514" max="11514" width="24.140625" style="425" customWidth="1"/>
    <col min="11515" max="11516" width="0" style="425" hidden="1" customWidth="1"/>
    <col min="11517" max="11517" width="61.42578125" style="425" customWidth="1"/>
    <col min="11518" max="11518" width="62.140625" style="425" customWidth="1"/>
    <col min="11519" max="11522" width="0" style="425" hidden="1" customWidth="1"/>
    <col min="11523" max="11767" width="9.140625" style="425"/>
    <col min="11768" max="11768" width="5.5703125" style="425" customWidth="1"/>
    <col min="11769" max="11769" width="58" style="425" customWidth="1"/>
    <col min="11770" max="11770" width="24.140625" style="425" customWidth="1"/>
    <col min="11771" max="11772" width="0" style="425" hidden="1" customWidth="1"/>
    <col min="11773" max="11773" width="61.42578125" style="425" customWidth="1"/>
    <col min="11774" max="11774" width="62.140625" style="425" customWidth="1"/>
    <col min="11775" max="11778" width="0" style="425" hidden="1" customWidth="1"/>
    <col min="11779" max="12023" width="9.140625" style="425"/>
    <col min="12024" max="12024" width="5.5703125" style="425" customWidth="1"/>
    <col min="12025" max="12025" width="58" style="425" customWidth="1"/>
    <col min="12026" max="12026" width="24.140625" style="425" customWidth="1"/>
    <col min="12027" max="12028" width="0" style="425" hidden="1" customWidth="1"/>
    <col min="12029" max="12029" width="61.42578125" style="425" customWidth="1"/>
    <col min="12030" max="12030" width="62.140625" style="425" customWidth="1"/>
    <col min="12031" max="12034" width="0" style="425" hidden="1" customWidth="1"/>
    <col min="12035" max="12279" width="9.140625" style="425"/>
    <col min="12280" max="12280" width="5.5703125" style="425" customWidth="1"/>
    <col min="12281" max="12281" width="58" style="425" customWidth="1"/>
    <col min="12282" max="12282" width="24.140625" style="425" customWidth="1"/>
    <col min="12283" max="12284" width="0" style="425" hidden="1" customWidth="1"/>
    <col min="12285" max="12285" width="61.42578125" style="425" customWidth="1"/>
    <col min="12286" max="12286" width="62.140625" style="425" customWidth="1"/>
    <col min="12287" max="12290" width="0" style="425" hidden="1" customWidth="1"/>
    <col min="12291" max="12535" width="9.140625" style="425"/>
    <col min="12536" max="12536" width="5.5703125" style="425" customWidth="1"/>
    <col min="12537" max="12537" width="58" style="425" customWidth="1"/>
    <col min="12538" max="12538" width="24.140625" style="425" customWidth="1"/>
    <col min="12539" max="12540" width="0" style="425" hidden="1" customWidth="1"/>
    <col min="12541" max="12541" width="61.42578125" style="425" customWidth="1"/>
    <col min="12542" max="12542" width="62.140625" style="425" customWidth="1"/>
    <col min="12543" max="12546" width="0" style="425" hidden="1" customWidth="1"/>
    <col min="12547" max="12791" width="9.140625" style="425"/>
    <col min="12792" max="12792" width="5.5703125" style="425" customWidth="1"/>
    <col min="12793" max="12793" width="58" style="425" customWidth="1"/>
    <col min="12794" max="12794" width="24.140625" style="425" customWidth="1"/>
    <col min="12795" max="12796" width="0" style="425" hidden="1" customWidth="1"/>
    <col min="12797" max="12797" width="61.42578125" style="425" customWidth="1"/>
    <col min="12798" max="12798" width="62.140625" style="425" customWidth="1"/>
    <col min="12799" max="12802" width="0" style="425" hidden="1" customWidth="1"/>
    <col min="12803" max="13047" width="9.140625" style="425"/>
    <col min="13048" max="13048" width="5.5703125" style="425" customWidth="1"/>
    <col min="13049" max="13049" width="58" style="425" customWidth="1"/>
    <col min="13050" max="13050" width="24.140625" style="425" customWidth="1"/>
    <col min="13051" max="13052" width="0" style="425" hidden="1" customWidth="1"/>
    <col min="13053" max="13053" width="61.42578125" style="425" customWidth="1"/>
    <col min="13054" max="13054" width="62.140625" style="425" customWidth="1"/>
    <col min="13055" max="13058" width="0" style="425" hidden="1" customWidth="1"/>
    <col min="13059" max="13303" width="9.140625" style="425"/>
    <col min="13304" max="13304" width="5.5703125" style="425" customWidth="1"/>
    <col min="13305" max="13305" width="58" style="425" customWidth="1"/>
    <col min="13306" max="13306" width="24.140625" style="425" customWidth="1"/>
    <col min="13307" max="13308" width="0" style="425" hidden="1" customWidth="1"/>
    <col min="13309" max="13309" width="61.42578125" style="425" customWidth="1"/>
    <col min="13310" max="13310" width="62.140625" style="425" customWidth="1"/>
    <col min="13311" max="13314" width="0" style="425" hidden="1" customWidth="1"/>
    <col min="13315" max="13559" width="9.140625" style="425"/>
    <col min="13560" max="13560" width="5.5703125" style="425" customWidth="1"/>
    <col min="13561" max="13561" width="58" style="425" customWidth="1"/>
    <col min="13562" max="13562" width="24.140625" style="425" customWidth="1"/>
    <col min="13563" max="13564" width="0" style="425" hidden="1" customWidth="1"/>
    <col min="13565" max="13565" width="61.42578125" style="425" customWidth="1"/>
    <col min="13566" max="13566" width="62.140625" style="425" customWidth="1"/>
    <col min="13567" max="13570" width="0" style="425" hidden="1" customWidth="1"/>
    <col min="13571" max="13815" width="9.140625" style="425"/>
    <col min="13816" max="13816" width="5.5703125" style="425" customWidth="1"/>
    <col min="13817" max="13817" width="58" style="425" customWidth="1"/>
    <col min="13818" max="13818" width="24.140625" style="425" customWidth="1"/>
    <col min="13819" max="13820" width="0" style="425" hidden="1" customWidth="1"/>
    <col min="13821" max="13821" width="61.42578125" style="425" customWidth="1"/>
    <col min="13822" max="13822" width="62.140625" style="425" customWidth="1"/>
    <col min="13823" max="13826" width="0" style="425" hidden="1" customWidth="1"/>
    <col min="13827" max="14071" width="9.140625" style="425"/>
    <col min="14072" max="14072" width="5.5703125" style="425" customWidth="1"/>
    <col min="14073" max="14073" width="58" style="425" customWidth="1"/>
    <col min="14074" max="14074" width="24.140625" style="425" customWidth="1"/>
    <col min="14075" max="14076" width="0" style="425" hidden="1" customWidth="1"/>
    <col min="14077" max="14077" width="61.42578125" style="425" customWidth="1"/>
    <col min="14078" max="14078" width="62.140625" style="425" customWidth="1"/>
    <col min="14079" max="14082" width="0" style="425" hidden="1" customWidth="1"/>
    <col min="14083" max="14327" width="9.140625" style="425"/>
    <col min="14328" max="14328" width="5.5703125" style="425" customWidth="1"/>
    <col min="14329" max="14329" width="58" style="425" customWidth="1"/>
    <col min="14330" max="14330" width="24.140625" style="425" customWidth="1"/>
    <col min="14331" max="14332" width="0" style="425" hidden="1" customWidth="1"/>
    <col min="14333" max="14333" width="61.42578125" style="425" customWidth="1"/>
    <col min="14334" max="14334" width="62.140625" style="425" customWidth="1"/>
    <col min="14335" max="14338" width="0" style="425" hidden="1" customWidth="1"/>
    <col min="14339" max="14583" width="9.140625" style="425"/>
    <col min="14584" max="14584" width="5.5703125" style="425" customWidth="1"/>
    <col min="14585" max="14585" width="58" style="425" customWidth="1"/>
    <col min="14586" max="14586" width="24.140625" style="425" customWidth="1"/>
    <col min="14587" max="14588" width="0" style="425" hidden="1" customWidth="1"/>
    <col min="14589" max="14589" width="61.42578125" style="425" customWidth="1"/>
    <col min="14590" max="14590" width="62.140625" style="425" customWidth="1"/>
    <col min="14591" max="14594" width="0" style="425" hidden="1" customWidth="1"/>
    <col min="14595" max="14839" width="9.140625" style="425"/>
    <col min="14840" max="14840" width="5.5703125" style="425" customWidth="1"/>
    <col min="14841" max="14841" width="58" style="425" customWidth="1"/>
    <col min="14842" max="14842" width="24.140625" style="425" customWidth="1"/>
    <col min="14843" max="14844" width="0" style="425" hidden="1" customWidth="1"/>
    <col min="14845" max="14845" width="61.42578125" style="425" customWidth="1"/>
    <col min="14846" max="14846" width="62.140625" style="425" customWidth="1"/>
    <col min="14847" max="14850" width="0" style="425" hidden="1" customWidth="1"/>
    <col min="14851" max="15095" width="9.140625" style="425"/>
    <col min="15096" max="15096" width="5.5703125" style="425" customWidth="1"/>
    <col min="15097" max="15097" width="58" style="425" customWidth="1"/>
    <col min="15098" max="15098" width="24.140625" style="425" customWidth="1"/>
    <col min="15099" max="15100" width="0" style="425" hidden="1" customWidth="1"/>
    <col min="15101" max="15101" width="61.42578125" style="425" customWidth="1"/>
    <col min="15102" max="15102" width="62.140625" style="425" customWidth="1"/>
    <col min="15103" max="15106" width="0" style="425" hidden="1" customWidth="1"/>
    <col min="15107" max="15351" width="9.140625" style="425"/>
    <col min="15352" max="15352" width="5.5703125" style="425" customWidth="1"/>
    <col min="15353" max="15353" width="58" style="425" customWidth="1"/>
    <col min="15354" max="15354" width="24.140625" style="425" customWidth="1"/>
    <col min="15355" max="15356" width="0" style="425" hidden="1" customWidth="1"/>
    <col min="15357" max="15357" width="61.42578125" style="425" customWidth="1"/>
    <col min="15358" max="15358" width="62.140625" style="425" customWidth="1"/>
    <col min="15359" max="15362" width="0" style="425" hidden="1" customWidth="1"/>
    <col min="15363" max="15607" width="9.140625" style="425"/>
    <col min="15608" max="15608" width="5.5703125" style="425" customWidth="1"/>
    <col min="15609" max="15609" width="58" style="425" customWidth="1"/>
    <col min="15610" max="15610" width="24.140625" style="425" customWidth="1"/>
    <col min="15611" max="15612" width="0" style="425" hidden="1" customWidth="1"/>
    <col min="15613" max="15613" width="61.42578125" style="425" customWidth="1"/>
    <col min="15614" max="15614" width="62.140625" style="425" customWidth="1"/>
    <col min="15615" max="15618" width="0" style="425" hidden="1" customWidth="1"/>
    <col min="15619" max="15863" width="9.140625" style="425"/>
    <col min="15864" max="15864" width="5.5703125" style="425" customWidth="1"/>
    <col min="15865" max="15865" width="58" style="425" customWidth="1"/>
    <col min="15866" max="15866" width="24.140625" style="425" customWidth="1"/>
    <col min="15867" max="15868" width="0" style="425" hidden="1" customWidth="1"/>
    <col min="15869" max="15869" width="61.42578125" style="425" customWidth="1"/>
    <col min="15870" max="15870" width="62.140625" style="425" customWidth="1"/>
    <col min="15871" max="15874" width="0" style="425" hidden="1" customWidth="1"/>
    <col min="15875" max="16119" width="9.140625" style="425"/>
    <col min="16120" max="16120" width="5.5703125" style="425" customWidth="1"/>
    <col min="16121" max="16121" width="58" style="425" customWidth="1"/>
    <col min="16122" max="16122" width="24.140625" style="425" customWidth="1"/>
    <col min="16123" max="16124" width="0" style="425" hidden="1" customWidth="1"/>
    <col min="16125" max="16125" width="61.42578125" style="425" customWidth="1"/>
    <col min="16126" max="16126" width="62.140625" style="425" customWidth="1"/>
    <col min="16127" max="16130" width="0" style="425" hidden="1" customWidth="1"/>
    <col min="16131" max="16374" width="9.140625" style="425"/>
    <col min="16375" max="16384" width="9.140625" style="425" customWidth="1"/>
  </cols>
  <sheetData>
    <row r="1" spans="2:6">
      <c r="C1" s="426" t="s">
        <v>107</v>
      </c>
    </row>
    <row r="2" spans="2:6">
      <c r="C2" s="429">
        <v>44317</v>
      </c>
    </row>
    <row r="3" spans="2:6">
      <c r="B3" s="431"/>
      <c r="C3" s="430" t="s">
        <v>108</v>
      </c>
    </row>
    <row r="4" spans="2:6" ht="19.350000000000001" customHeight="1" thickBot="1">
      <c r="B4" s="432" t="s">
        <v>109</v>
      </c>
      <c r="C4" s="433" t="s">
        <v>562</v>
      </c>
      <c r="D4" s="432" t="s">
        <v>110</v>
      </c>
      <c r="E4" s="434" t="s">
        <v>111</v>
      </c>
      <c r="F4" s="434" t="s">
        <v>112</v>
      </c>
    </row>
    <row r="5" spans="2:6" ht="39.950000000000003" customHeight="1">
      <c r="B5" s="435" t="s">
        <v>113</v>
      </c>
      <c r="C5" s="437">
        <f>'[15]DC  CNA  DC III'!G6</f>
        <v>18.72</v>
      </c>
      <c r="D5" s="1071" t="s">
        <v>114</v>
      </c>
      <c r="E5" s="1069" t="s">
        <v>115</v>
      </c>
      <c r="F5" s="1069" t="s">
        <v>563</v>
      </c>
    </row>
    <row r="6" spans="2:6" ht="42.6" customHeight="1" thickBot="1">
      <c r="B6" s="439" t="s">
        <v>116</v>
      </c>
      <c r="C6" s="440">
        <f>C5*2080</f>
        <v>38937.599999999999</v>
      </c>
      <c r="D6" s="1072"/>
      <c r="E6" s="1070"/>
      <c r="F6" s="1070"/>
    </row>
    <row r="7" spans="2:6">
      <c r="B7" s="435" t="s">
        <v>117</v>
      </c>
      <c r="C7" s="437">
        <f>'[15]DC  CNA  DC III'!G19</f>
        <v>23.416</v>
      </c>
      <c r="D7" s="441" t="s">
        <v>118</v>
      </c>
      <c r="E7" s="1069" t="s">
        <v>119</v>
      </c>
      <c r="F7" s="1069" t="s">
        <v>564</v>
      </c>
    </row>
    <row r="8" spans="2:6" ht="27" thickBot="1">
      <c r="B8" s="442" t="s">
        <v>120</v>
      </c>
      <c r="C8" s="443">
        <f>C7*2080</f>
        <v>48705.279999999999</v>
      </c>
      <c r="D8" s="425" t="s">
        <v>121</v>
      </c>
      <c r="E8" s="1073"/>
      <c r="F8" s="1073"/>
    </row>
    <row r="9" spans="2:6">
      <c r="B9" s="435" t="s">
        <v>122</v>
      </c>
      <c r="C9" s="437">
        <f>'[15]DC  CNA  DC III'!G10</f>
        <v>17.97</v>
      </c>
      <c r="D9" s="441"/>
      <c r="E9" s="1069" t="s">
        <v>123</v>
      </c>
      <c r="F9" s="1069" t="s">
        <v>124</v>
      </c>
    </row>
    <row r="10" spans="2:6" ht="27" thickBot="1">
      <c r="B10" s="439" t="s">
        <v>125</v>
      </c>
      <c r="C10" s="440">
        <f>C9*2080</f>
        <v>37377.599999999999</v>
      </c>
      <c r="D10" s="444"/>
      <c r="E10" s="1070"/>
      <c r="F10" s="1070"/>
    </row>
    <row r="11" spans="2:6">
      <c r="B11" s="435" t="s">
        <v>126</v>
      </c>
      <c r="C11" s="437">
        <f>'[15]Case Social Worker.Manager'!G4</f>
        <v>23.67</v>
      </c>
      <c r="D11" s="441" t="s">
        <v>127</v>
      </c>
      <c r="E11" s="1069" t="s">
        <v>128</v>
      </c>
      <c r="F11" s="1069" t="s">
        <v>129</v>
      </c>
    </row>
    <row r="12" spans="2:6" ht="27" thickBot="1">
      <c r="B12" s="442" t="s">
        <v>130</v>
      </c>
      <c r="C12" s="443">
        <f>C11*2080</f>
        <v>49233.600000000006</v>
      </c>
      <c r="D12" s="425" t="s">
        <v>131</v>
      </c>
      <c r="E12" s="1073"/>
      <c r="F12" s="1073"/>
    </row>
    <row r="13" spans="2:6" ht="52.5">
      <c r="B13" s="445" t="s">
        <v>132</v>
      </c>
      <c r="C13" s="437">
        <f>'[15]Case Social Worker.Manager'!G11</f>
        <v>28.444999999999997</v>
      </c>
      <c r="D13" s="441" t="s">
        <v>133</v>
      </c>
      <c r="E13" s="1069" t="s">
        <v>134</v>
      </c>
      <c r="F13" s="1069" t="s">
        <v>565</v>
      </c>
    </row>
    <row r="14" spans="2:6" ht="53.25" thickBot="1">
      <c r="B14" s="446" t="s">
        <v>135</v>
      </c>
      <c r="C14" s="440">
        <f>C13*2080</f>
        <v>59165.599999999991</v>
      </c>
      <c r="D14" s="444" t="s">
        <v>136</v>
      </c>
      <c r="E14" s="1070"/>
      <c r="F14" s="1070"/>
    </row>
    <row r="15" spans="2:6">
      <c r="B15" s="435" t="s">
        <v>137</v>
      </c>
      <c r="C15" s="437">
        <f>[15]Nursing!G2</f>
        <v>28.94</v>
      </c>
      <c r="D15" s="441"/>
      <c r="E15" s="1069" t="s">
        <v>138</v>
      </c>
      <c r="F15" s="1069" t="s">
        <v>139</v>
      </c>
    </row>
    <row r="16" spans="2:6" ht="27" thickBot="1">
      <c r="B16" s="439" t="s">
        <v>140</v>
      </c>
      <c r="C16" s="440">
        <f>C15*2080</f>
        <v>60195.200000000004</v>
      </c>
      <c r="D16" s="444"/>
      <c r="E16" s="1070"/>
      <c r="F16" s="1070"/>
    </row>
    <row r="17" spans="2:6">
      <c r="B17" s="435" t="s">
        <v>141</v>
      </c>
      <c r="C17" s="437">
        <f>[15]Clinical!G6</f>
        <v>34.2425</v>
      </c>
      <c r="D17" s="441" t="s">
        <v>142</v>
      </c>
      <c r="E17" s="1069" t="s">
        <v>143</v>
      </c>
      <c r="F17" s="1069" t="s">
        <v>566</v>
      </c>
    </row>
    <row r="18" spans="2:6" ht="27" thickBot="1">
      <c r="B18" s="439" t="s">
        <v>144</v>
      </c>
      <c r="C18" s="440">
        <f>C17*2080</f>
        <v>71224.399999999994</v>
      </c>
      <c r="D18" s="444"/>
      <c r="E18" s="1070"/>
      <c r="F18" s="1070"/>
    </row>
    <row r="19" spans="2:6">
      <c r="B19" s="435" t="s">
        <v>145</v>
      </c>
      <c r="C19" s="436">
        <f>[15]Therapies!E2</f>
        <v>30</v>
      </c>
      <c r="D19" s="441"/>
      <c r="E19" s="1069" t="s">
        <v>146</v>
      </c>
      <c r="F19" s="1069" t="s">
        <v>147</v>
      </c>
    </row>
    <row r="20" spans="2:6" ht="27" thickBot="1">
      <c r="B20" s="439" t="s">
        <v>148</v>
      </c>
      <c r="C20" s="440">
        <f>C19*2080</f>
        <v>62400</v>
      </c>
      <c r="D20" s="444"/>
      <c r="E20" s="1070"/>
      <c r="F20" s="1070"/>
    </row>
    <row r="21" spans="2:6">
      <c r="B21" s="442" t="s">
        <v>149</v>
      </c>
      <c r="C21" s="447">
        <f>[15]Management!G2</f>
        <v>34.61</v>
      </c>
      <c r="D21" s="425" t="s">
        <v>150</v>
      </c>
      <c r="E21" s="1069" t="s">
        <v>151</v>
      </c>
      <c r="F21" s="1074" t="s">
        <v>152</v>
      </c>
    </row>
    <row r="22" spans="2:6" ht="27" thickBot="1">
      <c r="B22" s="439" t="s">
        <v>153</v>
      </c>
      <c r="C22" s="440">
        <f>[15]Management!H2</f>
        <v>72000</v>
      </c>
      <c r="D22" s="444" t="s">
        <v>154</v>
      </c>
      <c r="E22" s="1070"/>
      <c r="F22" s="1075"/>
    </row>
    <row r="23" spans="2:6">
      <c r="B23" s="442" t="s">
        <v>155</v>
      </c>
      <c r="C23" s="447">
        <f>[15]Therapies!E8</f>
        <v>37.730000000000004</v>
      </c>
      <c r="D23" s="425" t="s">
        <v>156</v>
      </c>
      <c r="E23" s="1069" t="s">
        <v>134</v>
      </c>
      <c r="F23" s="1069" t="s">
        <v>157</v>
      </c>
    </row>
    <row r="24" spans="2:6" ht="27" thickBot="1">
      <c r="B24" s="439" t="s">
        <v>158</v>
      </c>
      <c r="C24" s="440">
        <f>C23*2080</f>
        <v>78478.400000000009</v>
      </c>
      <c r="D24" s="444"/>
      <c r="E24" s="1070"/>
      <c r="F24" s="1070"/>
    </row>
    <row r="25" spans="2:6">
      <c r="B25" s="442" t="s">
        <v>159</v>
      </c>
      <c r="C25" s="447">
        <f>[15]Therapies!E14</f>
        <v>39.756</v>
      </c>
      <c r="D25" s="425" t="s">
        <v>160</v>
      </c>
      <c r="E25" s="1069" t="s">
        <v>134</v>
      </c>
      <c r="F25" s="1069" t="s">
        <v>161</v>
      </c>
    </row>
    <row r="26" spans="2:6" ht="27" thickBot="1">
      <c r="B26" s="439" t="s">
        <v>162</v>
      </c>
      <c r="C26" s="443">
        <f>C25*2080</f>
        <v>82692.479999999996</v>
      </c>
      <c r="E26" s="1070"/>
      <c r="F26" s="1070"/>
    </row>
    <row r="27" spans="2:6">
      <c r="B27" s="435" t="s">
        <v>163</v>
      </c>
      <c r="C27" s="437">
        <f>[15]Clinical!G12</f>
        <v>42.14</v>
      </c>
      <c r="D27" s="1076" t="s">
        <v>567</v>
      </c>
      <c r="E27" s="1069" t="s">
        <v>164</v>
      </c>
      <c r="F27" s="1069" t="s">
        <v>568</v>
      </c>
    </row>
    <row r="28" spans="2:6" ht="34.5" customHeight="1" thickBot="1">
      <c r="B28" s="439" t="s">
        <v>165</v>
      </c>
      <c r="C28" s="440">
        <f>C27*2080</f>
        <v>87651.199999999997</v>
      </c>
      <c r="D28" s="1077"/>
      <c r="E28" s="1070"/>
      <c r="F28" s="1070"/>
    </row>
    <row r="29" spans="2:6">
      <c r="B29" s="435" t="s">
        <v>166</v>
      </c>
      <c r="C29" s="437">
        <f>[15]Therapies!E18</f>
        <v>42.274000000000001</v>
      </c>
      <c r="D29" s="441"/>
      <c r="E29" s="1069" t="s">
        <v>134</v>
      </c>
      <c r="F29" s="1069" t="s">
        <v>167</v>
      </c>
    </row>
    <row r="30" spans="2:6" ht="27" thickBot="1">
      <c r="B30" s="439" t="s">
        <v>168</v>
      </c>
      <c r="C30" s="440">
        <f>C29*2080</f>
        <v>87929.919999999998</v>
      </c>
      <c r="D30" s="444"/>
      <c r="E30" s="1070"/>
      <c r="F30" s="1070"/>
    </row>
    <row r="31" spans="2:6">
      <c r="B31" s="435" t="s">
        <v>169</v>
      </c>
      <c r="C31" s="437">
        <f>[15]Nursing!G6</f>
        <v>45.65</v>
      </c>
      <c r="D31" s="441"/>
      <c r="E31" s="1069" t="s">
        <v>170</v>
      </c>
      <c r="F31" s="1069" t="s">
        <v>171</v>
      </c>
    </row>
    <row r="32" spans="2:6" ht="38.450000000000003" customHeight="1" thickBot="1">
      <c r="B32" s="439" t="s">
        <v>172</v>
      </c>
      <c r="C32" s="440">
        <f>C31*2080</f>
        <v>94952</v>
      </c>
      <c r="D32" s="444"/>
      <c r="E32" s="1070"/>
      <c r="F32" s="1070"/>
    </row>
    <row r="33" spans="2:6">
      <c r="B33" s="435" t="s">
        <v>173</v>
      </c>
      <c r="C33" s="437">
        <f>[15]Nursing!G11</f>
        <v>61.62</v>
      </c>
      <c r="D33" s="441"/>
      <c r="E33" s="1069" t="s">
        <v>174</v>
      </c>
      <c r="F33" s="1069" t="s">
        <v>175</v>
      </c>
    </row>
    <row r="34" spans="2:6" ht="27" thickBot="1">
      <c r="B34" s="439" t="s">
        <v>176</v>
      </c>
      <c r="C34" s="440">
        <f>C33*2080</f>
        <v>128169.59999999999</v>
      </c>
      <c r="D34" s="444"/>
      <c r="E34" s="1070"/>
      <c r="F34" s="1070"/>
    </row>
    <row r="36" spans="2:6" ht="52.5">
      <c r="B36" s="448" t="s">
        <v>177</v>
      </c>
      <c r="C36" s="443">
        <f>C6</f>
        <v>38937.599999999999</v>
      </c>
    </row>
    <row r="37" spans="2:6">
      <c r="C37" s="449"/>
    </row>
    <row r="38" spans="2:6">
      <c r="B38" s="450" t="s">
        <v>569</v>
      </c>
      <c r="C38" s="451">
        <v>0.2422</v>
      </c>
      <c r="D38" s="425" t="s">
        <v>570</v>
      </c>
    </row>
    <row r="39" spans="2:6" ht="34.35" customHeight="1">
      <c r="B39" s="450"/>
      <c r="C39" s="449"/>
      <c r="D39" s="1078" t="s">
        <v>571</v>
      </c>
      <c r="E39" s="1078"/>
      <c r="F39" s="425"/>
    </row>
    <row r="40" spans="2:6">
      <c r="C40" s="449"/>
    </row>
    <row r="41" spans="2:6">
      <c r="B41" s="450" t="s">
        <v>178</v>
      </c>
      <c r="C41" s="452">
        <v>0.12</v>
      </c>
      <c r="D41" s="425" t="s">
        <v>179</v>
      </c>
    </row>
    <row r="42" spans="2:6">
      <c r="B42" s="450"/>
      <c r="C42" s="428"/>
    </row>
    <row r="43" spans="2:6">
      <c r="B43" s="1079" t="s">
        <v>572</v>
      </c>
      <c r="C43" s="1079"/>
      <c r="D43" s="1079"/>
    </row>
    <row r="44" spans="2:6">
      <c r="B44" s="450" t="s">
        <v>180</v>
      </c>
      <c r="C44" s="443">
        <v>247150</v>
      </c>
      <c r="D44" s="425" t="s">
        <v>573</v>
      </c>
    </row>
    <row r="45" spans="2:6">
      <c r="B45" s="450" t="s">
        <v>181</v>
      </c>
      <c r="C45" s="443">
        <v>206010</v>
      </c>
      <c r="D45" s="425" t="s">
        <v>574</v>
      </c>
    </row>
    <row r="46" spans="2:6">
      <c r="B46" s="450" t="s">
        <v>575</v>
      </c>
      <c r="C46" s="443">
        <f>[15]Sheet1!G303</f>
        <v>129960</v>
      </c>
      <c r="D46" s="425" t="s">
        <v>576</v>
      </c>
    </row>
    <row r="49" spans="3:3">
      <c r="C49" s="438"/>
    </row>
    <row r="50" spans="3:3">
      <c r="C50" s="453"/>
    </row>
  </sheetData>
  <mergeCells count="34">
    <mergeCell ref="D39:E39"/>
    <mergeCell ref="B43:D43"/>
    <mergeCell ref="E29:E30"/>
    <mergeCell ref="F29:F30"/>
    <mergeCell ref="E31:E32"/>
    <mergeCell ref="F31:F32"/>
    <mergeCell ref="E33:E34"/>
    <mergeCell ref="F33:F34"/>
    <mergeCell ref="E23:E24"/>
    <mergeCell ref="F23:F24"/>
    <mergeCell ref="E25:E26"/>
    <mergeCell ref="F25:F26"/>
    <mergeCell ref="D27:D28"/>
    <mergeCell ref="E27:E28"/>
    <mergeCell ref="F27:F28"/>
    <mergeCell ref="E17:E18"/>
    <mergeCell ref="F17:F18"/>
    <mergeCell ref="E19:E20"/>
    <mergeCell ref="F19:F20"/>
    <mergeCell ref="E21:E22"/>
    <mergeCell ref="F21:F22"/>
    <mergeCell ref="E15:E16"/>
    <mergeCell ref="F15:F16"/>
    <mergeCell ref="D5:D6"/>
    <mergeCell ref="E5:E6"/>
    <mergeCell ref="F5:F6"/>
    <mergeCell ref="E7:E8"/>
    <mergeCell ref="F7:F8"/>
    <mergeCell ref="E9:E10"/>
    <mergeCell ref="F9:F10"/>
    <mergeCell ref="E11:E12"/>
    <mergeCell ref="F11:F12"/>
    <mergeCell ref="E13:E14"/>
    <mergeCell ref="F13:F14"/>
  </mergeCells>
  <pageMargins left="0.7" right="0.7" top="0.75" bottom="0.75" header="0.3" footer="0.3"/>
  <pageSetup scale="5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03F5E-D1BA-418C-8A8F-3D5CDE4AF1C9}">
  <dimension ref="A1:CL24"/>
  <sheetViews>
    <sheetView topLeftCell="BK1" workbookViewId="0">
      <selection activeCell="BZ28" sqref="BZ28"/>
    </sheetView>
  </sheetViews>
  <sheetFormatPr defaultRowHeight="12.75"/>
  <cols>
    <col min="1" max="1" width="38.42578125" style="618" customWidth="1"/>
    <col min="2" max="2" width="12.85546875" style="623" customWidth="1"/>
    <col min="3" max="62" width="7.7109375" style="618" hidden="1" customWidth="1"/>
    <col min="63" max="82" width="7.7109375" style="618" customWidth="1"/>
    <col min="83" max="256" width="9.140625" style="618"/>
    <col min="257" max="257" width="38.42578125" style="618" customWidth="1"/>
    <col min="258" max="258" width="12.85546875" style="618" customWidth="1"/>
    <col min="259" max="318" width="0" style="618" hidden="1" customWidth="1"/>
    <col min="319" max="338" width="7.7109375" style="618" customWidth="1"/>
    <col min="339" max="512" width="9.140625" style="618"/>
    <col min="513" max="513" width="38.42578125" style="618" customWidth="1"/>
    <col min="514" max="514" width="12.85546875" style="618" customWidth="1"/>
    <col min="515" max="574" width="0" style="618" hidden="1" customWidth="1"/>
    <col min="575" max="594" width="7.7109375" style="618" customWidth="1"/>
    <col min="595" max="768" width="9.140625" style="618"/>
    <col min="769" max="769" width="38.42578125" style="618" customWidth="1"/>
    <col min="770" max="770" width="12.85546875" style="618" customWidth="1"/>
    <col min="771" max="830" width="0" style="618" hidden="1" customWidth="1"/>
    <col min="831" max="850" width="7.7109375" style="618" customWidth="1"/>
    <col min="851" max="1024" width="9.140625" style="618"/>
    <col min="1025" max="1025" width="38.42578125" style="618" customWidth="1"/>
    <col min="1026" max="1026" width="12.85546875" style="618" customWidth="1"/>
    <col min="1027" max="1086" width="0" style="618" hidden="1" customWidth="1"/>
    <col min="1087" max="1106" width="7.7109375" style="618" customWidth="1"/>
    <col min="1107" max="1280" width="9.140625" style="618"/>
    <col min="1281" max="1281" width="38.42578125" style="618" customWidth="1"/>
    <col min="1282" max="1282" width="12.85546875" style="618" customWidth="1"/>
    <col min="1283" max="1342" width="0" style="618" hidden="1" customWidth="1"/>
    <col min="1343" max="1362" width="7.7109375" style="618" customWidth="1"/>
    <col min="1363" max="1536" width="9.140625" style="618"/>
    <col min="1537" max="1537" width="38.42578125" style="618" customWidth="1"/>
    <col min="1538" max="1538" width="12.85546875" style="618" customWidth="1"/>
    <col min="1539" max="1598" width="0" style="618" hidden="1" customWidth="1"/>
    <col min="1599" max="1618" width="7.7109375" style="618" customWidth="1"/>
    <col min="1619" max="1792" width="9.140625" style="618"/>
    <col min="1793" max="1793" width="38.42578125" style="618" customWidth="1"/>
    <col min="1794" max="1794" width="12.85546875" style="618" customWidth="1"/>
    <col min="1795" max="1854" width="0" style="618" hidden="1" customWidth="1"/>
    <col min="1855" max="1874" width="7.7109375" style="618" customWidth="1"/>
    <col min="1875" max="2048" width="9.140625" style="618"/>
    <col min="2049" max="2049" width="38.42578125" style="618" customWidth="1"/>
    <col min="2050" max="2050" width="12.85546875" style="618" customWidth="1"/>
    <col min="2051" max="2110" width="0" style="618" hidden="1" customWidth="1"/>
    <col min="2111" max="2130" width="7.7109375" style="618" customWidth="1"/>
    <col min="2131" max="2304" width="9.140625" style="618"/>
    <col min="2305" max="2305" width="38.42578125" style="618" customWidth="1"/>
    <col min="2306" max="2306" width="12.85546875" style="618" customWidth="1"/>
    <col min="2307" max="2366" width="0" style="618" hidden="1" customWidth="1"/>
    <col min="2367" max="2386" width="7.7109375" style="618" customWidth="1"/>
    <col min="2387" max="2560" width="9.140625" style="618"/>
    <col min="2561" max="2561" width="38.42578125" style="618" customWidth="1"/>
    <col min="2562" max="2562" width="12.85546875" style="618" customWidth="1"/>
    <col min="2563" max="2622" width="0" style="618" hidden="1" customWidth="1"/>
    <col min="2623" max="2642" width="7.7109375" style="618" customWidth="1"/>
    <col min="2643" max="2816" width="9.140625" style="618"/>
    <col min="2817" max="2817" width="38.42578125" style="618" customWidth="1"/>
    <col min="2818" max="2818" width="12.85546875" style="618" customWidth="1"/>
    <col min="2819" max="2878" width="0" style="618" hidden="1" customWidth="1"/>
    <col min="2879" max="2898" width="7.7109375" style="618" customWidth="1"/>
    <col min="2899" max="3072" width="9.140625" style="618"/>
    <col min="3073" max="3073" width="38.42578125" style="618" customWidth="1"/>
    <col min="3074" max="3074" width="12.85546875" style="618" customWidth="1"/>
    <col min="3075" max="3134" width="0" style="618" hidden="1" customWidth="1"/>
    <col min="3135" max="3154" width="7.7109375" style="618" customWidth="1"/>
    <col min="3155" max="3328" width="9.140625" style="618"/>
    <col min="3329" max="3329" width="38.42578125" style="618" customWidth="1"/>
    <col min="3330" max="3330" width="12.85546875" style="618" customWidth="1"/>
    <col min="3331" max="3390" width="0" style="618" hidden="1" customWidth="1"/>
    <col min="3391" max="3410" width="7.7109375" style="618" customWidth="1"/>
    <col min="3411" max="3584" width="9.140625" style="618"/>
    <col min="3585" max="3585" width="38.42578125" style="618" customWidth="1"/>
    <col min="3586" max="3586" width="12.85546875" style="618" customWidth="1"/>
    <col min="3587" max="3646" width="0" style="618" hidden="1" customWidth="1"/>
    <col min="3647" max="3666" width="7.7109375" style="618" customWidth="1"/>
    <col min="3667" max="3840" width="9.140625" style="618"/>
    <col min="3841" max="3841" width="38.42578125" style="618" customWidth="1"/>
    <col min="3842" max="3842" width="12.85546875" style="618" customWidth="1"/>
    <col min="3843" max="3902" width="0" style="618" hidden="1" customWidth="1"/>
    <col min="3903" max="3922" width="7.7109375" style="618" customWidth="1"/>
    <col min="3923" max="4096" width="9.140625" style="618"/>
    <col min="4097" max="4097" width="38.42578125" style="618" customWidth="1"/>
    <col min="4098" max="4098" width="12.85546875" style="618" customWidth="1"/>
    <col min="4099" max="4158" width="0" style="618" hidden="1" customWidth="1"/>
    <col min="4159" max="4178" width="7.7109375" style="618" customWidth="1"/>
    <col min="4179" max="4352" width="9.140625" style="618"/>
    <col min="4353" max="4353" width="38.42578125" style="618" customWidth="1"/>
    <col min="4354" max="4354" width="12.85546875" style="618" customWidth="1"/>
    <col min="4355" max="4414" width="0" style="618" hidden="1" customWidth="1"/>
    <col min="4415" max="4434" width="7.7109375" style="618" customWidth="1"/>
    <col min="4435" max="4608" width="9.140625" style="618"/>
    <col min="4609" max="4609" width="38.42578125" style="618" customWidth="1"/>
    <col min="4610" max="4610" width="12.85546875" style="618" customWidth="1"/>
    <col min="4611" max="4670" width="0" style="618" hidden="1" customWidth="1"/>
    <col min="4671" max="4690" width="7.7109375" style="618" customWidth="1"/>
    <col min="4691" max="4864" width="9.140625" style="618"/>
    <col min="4865" max="4865" width="38.42578125" style="618" customWidth="1"/>
    <col min="4866" max="4866" width="12.85546875" style="618" customWidth="1"/>
    <col min="4867" max="4926" width="0" style="618" hidden="1" customWidth="1"/>
    <col min="4927" max="4946" width="7.7109375" style="618" customWidth="1"/>
    <col min="4947" max="5120" width="9.140625" style="618"/>
    <col min="5121" max="5121" width="38.42578125" style="618" customWidth="1"/>
    <col min="5122" max="5122" width="12.85546875" style="618" customWidth="1"/>
    <col min="5123" max="5182" width="0" style="618" hidden="1" customWidth="1"/>
    <col min="5183" max="5202" width="7.7109375" style="618" customWidth="1"/>
    <col min="5203" max="5376" width="9.140625" style="618"/>
    <col min="5377" max="5377" width="38.42578125" style="618" customWidth="1"/>
    <col min="5378" max="5378" width="12.85546875" style="618" customWidth="1"/>
    <col min="5379" max="5438" width="0" style="618" hidden="1" customWidth="1"/>
    <col min="5439" max="5458" width="7.7109375" style="618" customWidth="1"/>
    <col min="5459" max="5632" width="9.140625" style="618"/>
    <col min="5633" max="5633" width="38.42578125" style="618" customWidth="1"/>
    <col min="5634" max="5634" width="12.85546875" style="618" customWidth="1"/>
    <col min="5635" max="5694" width="0" style="618" hidden="1" customWidth="1"/>
    <col min="5695" max="5714" width="7.7109375" style="618" customWidth="1"/>
    <col min="5715" max="5888" width="9.140625" style="618"/>
    <col min="5889" max="5889" width="38.42578125" style="618" customWidth="1"/>
    <col min="5890" max="5890" width="12.85546875" style="618" customWidth="1"/>
    <col min="5891" max="5950" width="0" style="618" hidden="1" customWidth="1"/>
    <col min="5951" max="5970" width="7.7109375" style="618" customWidth="1"/>
    <col min="5971" max="6144" width="9.140625" style="618"/>
    <col min="6145" max="6145" width="38.42578125" style="618" customWidth="1"/>
    <col min="6146" max="6146" width="12.85546875" style="618" customWidth="1"/>
    <col min="6147" max="6206" width="0" style="618" hidden="1" customWidth="1"/>
    <col min="6207" max="6226" width="7.7109375" style="618" customWidth="1"/>
    <col min="6227" max="6400" width="9.140625" style="618"/>
    <col min="6401" max="6401" width="38.42578125" style="618" customWidth="1"/>
    <col min="6402" max="6402" width="12.85546875" style="618" customWidth="1"/>
    <col min="6403" max="6462" width="0" style="618" hidden="1" customWidth="1"/>
    <col min="6463" max="6482" width="7.7109375" style="618" customWidth="1"/>
    <col min="6483" max="6656" width="9.140625" style="618"/>
    <col min="6657" max="6657" width="38.42578125" style="618" customWidth="1"/>
    <col min="6658" max="6658" width="12.85546875" style="618" customWidth="1"/>
    <col min="6659" max="6718" width="0" style="618" hidden="1" customWidth="1"/>
    <col min="6719" max="6738" width="7.7109375" style="618" customWidth="1"/>
    <col min="6739" max="6912" width="9.140625" style="618"/>
    <col min="6913" max="6913" width="38.42578125" style="618" customWidth="1"/>
    <col min="6914" max="6914" width="12.85546875" style="618" customWidth="1"/>
    <col min="6915" max="6974" width="0" style="618" hidden="1" customWidth="1"/>
    <col min="6975" max="6994" width="7.7109375" style="618" customWidth="1"/>
    <col min="6995" max="7168" width="9.140625" style="618"/>
    <col min="7169" max="7169" width="38.42578125" style="618" customWidth="1"/>
    <col min="7170" max="7170" width="12.85546875" style="618" customWidth="1"/>
    <col min="7171" max="7230" width="0" style="618" hidden="1" customWidth="1"/>
    <col min="7231" max="7250" width="7.7109375" style="618" customWidth="1"/>
    <col min="7251" max="7424" width="9.140625" style="618"/>
    <col min="7425" max="7425" width="38.42578125" style="618" customWidth="1"/>
    <col min="7426" max="7426" width="12.85546875" style="618" customWidth="1"/>
    <col min="7427" max="7486" width="0" style="618" hidden="1" customWidth="1"/>
    <col min="7487" max="7506" width="7.7109375" style="618" customWidth="1"/>
    <col min="7507" max="7680" width="9.140625" style="618"/>
    <col min="7681" max="7681" width="38.42578125" style="618" customWidth="1"/>
    <col min="7682" max="7682" width="12.85546875" style="618" customWidth="1"/>
    <col min="7683" max="7742" width="0" style="618" hidden="1" customWidth="1"/>
    <col min="7743" max="7762" width="7.7109375" style="618" customWidth="1"/>
    <col min="7763" max="7936" width="9.140625" style="618"/>
    <col min="7937" max="7937" width="38.42578125" style="618" customWidth="1"/>
    <col min="7938" max="7938" width="12.85546875" style="618" customWidth="1"/>
    <col min="7939" max="7998" width="0" style="618" hidden="1" customWidth="1"/>
    <col min="7999" max="8018" width="7.7109375" style="618" customWidth="1"/>
    <col min="8019" max="8192" width="9.140625" style="618"/>
    <col min="8193" max="8193" width="38.42578125" style="618" customWidth="1"/>
    <col min="8194" max="8194" width="12.85546875" style="618" customWidth="1"/>
    <col min="8195" max="8254" width="0" style="618" hidden="1" customWidth="1"/>
    <col min="8255" max="8274" width="7.7109375" style="618" customWidth="1"/>
    <col min="8275" max="8448" width="9.140625" style="618"/>
    <col min="8449" max="8449" width="38.42578125" style="618" customWidth="1"/>
    <col min="8450" max="8450" width="12.85546875" style="618" customWidth="1"/>
    <col min="8451" max="8510" width="0" style="618" hidden="1" customWidth="1"/>
    <col min="8511" max="8530" width="7.7109375" style="618" customWidth="1"/>
    <col min="8531" max="8704" width="9.140625" style="618"/>
    <col min="8705" max="8705" width="38.42578125" style="618" customWidth="1"/>
    <col min="8706" max="8706" width="12.85546875" style="618" customWidth="1"/>
    <col min="8707" max="8766" width="0" style="618" hidden="1" customWidth="1"/>
    <col min="8767" max="8786" width="7.7109375" style="618" customWidth="1"/>
    <col min="8787" max="8960" width="9.140625" style="618"/>
    <col min="8961" max="8961" width="38.42578125" style="618" customWidth="1"/>
    <col min="8962" max="8962" width="12.85546875" style="618" customWidth="1"/>
    <col min="8963" max="9022" width="0" style="618" hidden="1" customWidth="1"/>
    <col min="9023" max="9042" width="7.7109375" style="618" customWidth="1"/>
    <col min="9043" max="9216" width="9.140625" style="618"/>
    <col min="9217" max="9217" width="38.42578125" style="618" customWidth="1"/>
    <col min="9218" max="9218" width="12.85546875" style="618" customWidth="1"/>
    <col min="9219" max="9278" width="0" style="618" hidden="1" customWidth="1"/>
    <col min="9279" max="9298" width="7.7109375" style="618" customWidth="1"/>
    <col min="9299" max="9472" width="9.140625" style="618"/>
    <col min="9473" max="9473" width="38.42578125" style="618" customWidth="1"/>
    <col min="9474" max="9474" width="12.85546875" style="618" customWidth="1"/>
    <col min="9475" max="9534" width="0" style="618" hidden="1" customWidth="1"/>
    <col min="9535" max="9554" width="7.7109375" style="618" customWidth="1"/>
    <col min="9555" max="9728" width="9.140625" style="618"/>
    <col min="9729" max="9729" width="38.42578125" style="618" customWidth="1"/>
    <col min="9730" max="9730" width="12.85546875" style="618" customWidth="1"/>
    <col min="9731" max="9790" width="0" style="618" hidden="1" customWidth="1"/>
    <col min="9791" max="9810" width="7.7109375" style="618" customWidth="1"/>
    <col min="9811" max="9984" width="9.140625" style="618"/>
    <col min="9985" max="9985" width="38.42578125" style="618" customWidth="1"/>
    <col min="9986" max="9986" width="12.85546875" style="618" customWidth="1"/>
    <col min="9987" max="10046" width="0" style="618" hidden="1" customWidth="1"/>
    <col min="10047" max="10066" width="7.7109375" style="618" customWidth="1"/>
    <col min="10067" max="10240" width="9.140625" style="618"/>
    <col min="10241" max="10241" width="38.42578125" style="618" customWidth="1"/>
    <col min="10242" max="10242" width="12.85546875" style="618" customWidth="1"/>
    <col min="10243" max="10302" width="0" style="618" hidden="1" customWidth="1"/>
    <col min="10303" max="10322" width="7.7109375" style="618" customWidth="1"/>
    <col min="10323" max="10496" width="9.140625" style="618"/>
    <col min="10497" max="10497" width="38.42578125" style="618" customWidth="1"/>
    <col min="10498" max="10498" width="12.85546875" style="618" customWidth="1"/>
    <col min="10499" max="10558" width="0" style="618" hidden="1" customWidth="1"/>
    <col min="10559" max="10578" width="7.7109375" style="618" customWidth="1"/>
    <col min="10579" max="10752" width="9.140625" style="618"/>
    <col min="10753" max="10753" width="38.42578125" style="618" customWidth="1"/>
    <col min="10754" max="10754" width="12.85546875" style="618" customWidth="1"/>
    <col min="10755" max="10814" width="0" style="618" hidden="1" customWidth="1"/>
    <col min="10815" max="10834" width="7.7109375" style="618" customWidth="1"/>
    <col min="10835" max="11008" width="9.140625" style="618"/>
    <col min="11009" max="11009" width="38.42578125" style="618" customWidth="1"/>
    <col min="11010" max="11010" width="12.85546875" style="618" customWidth="1"/>
    <col min="11011" max="11070" width="0" style="618" hidden="1" customWidth="1"/>
    <col min="11071" max="11090" width="7.7109375" style="618" customWidth="1"/>
    <col min="11091" max="11264" width="9.140625" style="618"/>
    <col min="11265" max="11265" width="38.42578125" style="618" customWidth="1"/>
    <col min="11266" max="11266" width="12.85546875" style="618" customWidth="1"/>
    <col min="11267" max="11326" width="0" style="618" hidden="1" customWidth="1"/>
    <col min="11327" max="11346" width="7.7109375" style="618" customWidth="1"/>
    <col min="11347" max="11520" width="9.140625" style="618"/>
    <col min="11521" max="11521" width="38.42578125" style="618" customWidth="1"/>
    <col min="11522" max="11522" width="12.85546875" style="618" customWidth="1"/>
    <col min="11523" max="11582" width="0" style="618" hidden="1" customWidth="1"/>
    <col min="11583" max="11602" width="7.7109375" style="618" customWidth="1"/>
    <col min="11603" max="11776" width="9.140625" style="618"/>
    <col min="11777" max="11777" width="38.42578125" style="618" customWidth="1"/>
    <col min="11778" max="11778" width="12.85546875" style="618" customWidth="1"/>
    <col min="11779" max="11838" width="0" style="618" hidden="1" customWidth="1"/>
    <col min="11839" max="11858" width="7.7109375" style="618" customWidth="1"/>
    <col min="11859" max="12032" width="9.140625" style="618"/>
    <col min="12033" max="12033" width="38.42578125" style="618" customWidth="1"/>
    <col min="12034" max="12034" width="12.85546875" style="618" customWidth="1"/>
    <col min="12035" max="12094" width="0" style="618" hidden="1" customWidth="1"/>
    <col min="12095" max="12114" width="7.7109375" style="618" customWidth="1"/>
    <col min="12115" max="12288" width="9.140625" style="618"/>
    <col min="12289" max="12289" width="38.42578125" style="618" customWidth="1"/>
    <col min="12290" max="12290" width="12.85546875" style="618" customWidth="1"/>
    <col min="12291" max="12350" width="0" style="618" hidden="1" customWidth="1"/>
    <col min="12351" max="12370" width="7.7109375" style="618" customWidth="1"/>
    <col min="12371" max="12544" width="9.140625" style="618"/>
    <col min="12545" max="12545" width="38.42578125" style="618" customWidth="1"/>
    <col min="12546" max="12546" width="12.85546875" style="618" customWidth="1"/>
    <col min="12547" max="12606" width="0" style="618" hidden="1" customWidth="1"/>
    <col min="12607" max="12626" width="7.7109375" style="618" customWidth="1"/>
    <col min="12627" max="12800" width="9.140625" style="618"/>
    <col min="12801" max="12801" width="38.42578125" style="618" customWidth="1"/>
    <col min="12802" max="12802" width="12.85546875" style="618" customWidth="1"/>
    <col min="12803" max="12862" width="0" style="618" hidden="1" customWidth="1"/>
    <col min="12863" max="12882" width="7.7109375" style="618" customWidth="1"/>
    <col min="12883" max="13056" width="9.140625" style="618"/>
    <col min="13057" max="13057" width="38.42578125" style="618" customWidth="1"/>
    <col min="13058" max="13058" width="12.85546875" style="618" customWidth="1"/>
    <col min="13059" max="13118" width="0" style="618" hidden="1" customWidth="1"/>
    <col min="13119" max="13138" width="7.7109375" style="618" customWidth="1"/>
    <col min="13139" max="13312" width="9.140625" style="618"/>
    <col min="13313" max="13313" width="38.42578125" style="618" customWidth="1"/>
    <col min="13314" max="13314" width="12.85546875" style="618" customWidth="1"/>
    <col min="13315" max="13374" width="0" style="618" hidden="1" customWidth="1"/>
    <col min="13375" max="13394" width="7.7109375" style="618" customWidth="1"/>
    <col min="13395" max="13568" width="9.140625" style="618"/>
    <col min="13569" max="13569" width="38.42578125" style="618" customWidth="1"/>
    <col min="13570" max="13570" width="12.85546875" style="618" customWidth="1"/>
    <col min="13571" max="13630" width="0" style="618" hidden="1" customWidth="1"/>
    <col min="13631" max="13650" width="7.7109375" style="618" customWidth="1"/>
    <col min="13651" max="13824" width="9.140625" style="618"/>
    <col min="13825" max="13825" width="38.42578125" style="618" customWidth="1"/>
    <col min="13826" max="13826" width="12.85546875" style="618" customWidth="1"/>
    <col min="13827" max="13886" width="0" style="618" hidden="1" customWidth="1"/>
    <col min="13887" max="13906" width="7.7109375" style="618" customWidth="1"/>
    <col min="13907" max="14080" width="9.140625" style="618"/>
    <col min="14081" max="14081" width="38.42578125" style="618" customWidth="1"/>
    <col min="14082" max="14082" width="12.85546875" style="618" customWidth="1"/>
    <col min="14083" max="14142" width="0" style="618" hidden="1" customWidth="1"/>
    <col min="14143" max="14162" width="7.7109375" style="618" customWidth="1"/>
    <col min="14163" max="14336" width="9.140625" style="618"/>
    <col min="14337" max="14337" width="38.42578125" style="618" customWidth="1"/>
    <col min="14338" max="14338" width="12.85546875" style="618" customWidth="1"/>
    <col min="14339" max="14398" width="0" style="618" hidden="1" customWidth="1"/>
    <col min="14399" max="14418" width="7.7109375" style="618" customWidth="1"/>
    <col min="14419" max="14592" width="9.140625" style="618"/>
    <col min="14593" max="14593" width="38.42578125" style="618" customWidth="1"/>
    <col min="14594" max="14594" width="12.85546875" style="618" customWidth="1"/>
    <col min="14595" max="14654" width="0" style="618" hidden="1" customWidth="1"/>
    <col min="14655" max="14674" width="7.7109375" style="618" customWidth="1"/>
    <col min="14675" max="14848" width="9.140625" style="618"/>
    <col min="14849" max="14849" width="38.42578125" style="618" customWidth="1"/>
    <col min="14850" max="14850" width="12.85546875" style="618" customWidth="1"/>
    <col min="14851" max="14910" width="0" style="618" hidden="1" customWidth="1"/>
    <col min="14911" max="14930" width="7.7109375" style="618" customWidth="1"/>
    <col min="14931" max="15104" width="9.140625" style="618"/>
    <col min="15105" max="15105" width="38.42578125" style="618" customWidth="1"/>
    <col min="15106" max="15106" width="12.85546875" style="618" customWidth="1"/>
    <col min="15107" max="15166" width="0" style="618" hidden="1" customWidth="1"/>
    <col min="15167" max="15186" width="7.7109375" style="618" customWidth="1"/>
    <col min="15187" max="15360" width="9.140625" style="618"/>
    <col min="15361" max="15361" width="38.42578125" style="618" customWidth="1"/>
    <col min="15362" max="15362" width="12.85546875" style="618" customWidth="1"/>
    <col min="15363" max="15422" width="0" style="618" hidden="1" customWidth="1"/>
    <col min="15423" max="15442" width="7.7109375" style="618" customWidth="1"/>
    <col min="15443" max="15616" width="9.140625" style="618"/>
    <col min="15617" max="15617" width="38.42578125" style="618" customWidth="1"/>
    <col min="15618" max="15618" width="12.85546875" style="618" customWidth="1"/>
    <col min="15619" max="15678" width="0" style="618" hidden="1" customWidth="1"/>
    <col min="15679" max="15698" width="7.7109375" style="618" customWidth="1"/>
    <col min="15699" max="15872" width="9.140625" style="618"/>
    <col min="15873" max="15873" width="38.42578125" style="618" customWidth="1"/>
    <col min="15874" max="15874" width="12.85546875" style="618" customWidth="1"/>
    <col min="15875" max="15934" width="0" style="618" hidden="1" customWidth="1"/>
    <col min="15935" max="15954" width="7.7109375" style="618" customWidth="1"/>
    <col min="15955" max="16128" width="9.140625" style="618"/>
    <col min="16129" max="16129" width="38.42578125" style="618" customWidth="1"/>
    <col min="16130" max="16130" width="12.85546875" style="618" customWidth="1"/>
    <col min="16131" max="16190" width="0" style="618" hidden="1" customWidth="1"/>
    <col min="16191" max="16210" width="7.7109375" style="618" customWidth="1"/>
    <col min="16211" max="16384" width="9.140625" style="618"/>
  </cols>
  <sheetData>
    <row r="1" spans="1:90" ht="18">
      <c r="A1" s="1067" t="s">
        <v>0</v>
      </c>
      <c r="B1" s="1068"/>
    </row>
    <row r="2" spans="1:90" ht="15.75">
      <c r="A2" s="619" t="s">
        <v>589</v>
      </c>
      <c r="B2" s="620"/>
    </row>
    <row r="3" spans="1:90" ht="15.75" thickBot="1">
      <c r="A3" s="621" t="s">
        <v>1</v>
      </c>
      <c r="B3" s="622"/>
    </row>
    <row r="6" spans="1:90">
      <c r="BQ6" s="180" t="s">
        <v>2</v>
      </c>
      <c r="BR6" s="180" t="s">
        <v>2</v>
      </c>
      <c r="BS6" s="180" t="s">
        <v>2</v>
      </c>
      <c r="BT6" s="180" t="s">
        <v>2</v>
      </c>
      <c r="BU6" s="181" t="s">
        <v>3</v>
      </c>
      <c r="BV6" s="181" t="s">
        <v>3</v>
      </c>
      <c r="BW6" s="181" t="s">
        <v>3</v>
      </c>
      <c r="BX6" s="181" t="s">
        <v>3</v>
      </c>
      <c r="BY6" s="182" t="s">
        <v>4</v>
      </c>
      <c r="BZ6" s="182" t="s">
        <v>4</v>
      </c>
      <c r="CA6" s="182" t="s">
        <v>4</v>
      </c>
      <c r="CB6" s="182" t="s">
        <v>4</v>
      </c>
      <c r="CC6" s="624" t="s">
        <v>5</v>
      </c>
      <c r="CD6" s="624" t="s">
        <v>5</v>
      </c>
      <c r="CE6" s="624" t="s">
        <v>5</v>
      </c>
      <c r="CF6" s="624" t="s">
        <v>5</v>
      </c>
      <c r="CG6" s="625" t="s">
        <v>6</v>
      </c>
      <c r="CH6" s="625" t="s">
        <v>6</v>
      </c>
      <c r="CI6" s="625" t="s">
        <v>6</v>
      </c>
      <c r="CJ6" s="625" t="s">
        <v>6</v>
      </c>
    </row>
    <row r="7" spans="1:90" s="623" customFormat="1">
      <c r="B7" s="623" t="s">
        <v>7</v>
      </c>
      <c r="C7" s="626" t="s">
        <v>8</v>
      </c>
      <c r="D7" s="626" t="s">
        <v>9</v>
      </c>
      <c r="E7" s="626" t="s">
        <v>10</v>
      </c>
      <c r="F7" s="626" t="s">
        <v>11</v>
      </c>
      <c r="G7" s="626" t="s">
        <v>12</v>
      </c>
      <c r="H7" s="626" t="s">
        <v>13</v>
      </c>
      <c r="I7" s="626" t="s">
        <v>14</v>
      </c>
      <c r="J7" s="626" t="s">
        <v>15</v>
      </c>
      <c r="K7" s="626" t="s">
        <v>16</v>
      </c>
      <c r="L7" s="626" t="s">
        <v>17</v>
      </c>
      <c r="M7" s="626" t="s">
        <v>18</v>
      </c>
      <c r="N7" s="626" t="s">
        <v>19</v>
      </c>
      <c r="O7" s="626" t="s">
        <v>20</v>
      </c>
      <c r="P7" s="626" t="s">
        <v>21</v>
      </c>
      <c r="Q7" s="626" t="s">
        <v>22</v>
      </c>
      <c r="R7" s="626" t="s">
        <v>23</v>
      </c>
      <c r="S7" s="626" t="s">
        <v>24</v>
      </c>
      <c r="T7" s="626" t="s">
        <v>25</v>
      </c>
      <c r="U7" s="626" t="s">
        <v>26</v>
      </c>
      <c r="V7" s="626" t="s">
        <v>27</v>
      </c>
      <c r="W7" s="626" t="s">
        <v>28</v>
      </c>
      <c r="X7" s="626" t="s">
        <v>29</v>
      </c>
      <c r="Y7" s="626" t="s">
        <v>30</v>
      </c>
      <c r="Z7" s="626" t="s">
        <v>31</v>
      </c>
      <c r="AA7" s="626" t="s">
        <v>32</v>
      </c>
      <c r="AB7" s="626" t="s">
        <v>33</v>
      </c>
      <c r="AC7" s="626" t="s">
        <v>34</v>
      </c>
      <c r="AD7" s="626" t="s">
        <v>35</v>
      </c>
      <c r="AE7" s="626" t="s">
        <v>36</v>
      </c>
      <c r="AF7" s="626" t="s">
        <v>37</v>
      </c>
      <c r="AG7" s="626" t="s">
        <v>38</v>
      </c>
      <c r="AH7" s="626" t="s">
        <v>39</v>
      </c>
      <c r="AI7" s="626" t="s">
        <v>40</v>
      </c>
      <c r="AJ7" s="626" t="s">
        <v>41</v>
      </c>
      <c r="AK7" s="626" t="s">
        <v>42</v>
      </c>
      <c r="AL7" s="626" t="s">
        <v>43</v>
      </c>
      <c r="AM7" s="626" t="s">
        <v>44</v>
      </c>
      <c r="AN7" s="626" t="s">
        <v>45</v>
      </c>
      <c r="AO7" s="626" t="s">
        <v>46</v>
      </c>
      <c r="AP7" s="626" t="s">
        <v>47</v>
      </c>
      <c r="AQ7" s="626" t="s">
        <v>48</v>
      </c>
      <c r="AR7" s="626" t="s">
        <v>49</v>
      </c>
      <c r="AS7" s="626" t="s">
        <v>50</v>
      </c>
      <c r="AT7" s="626" t="s">
        <v>51</v>
      </c>
      <c r="AU7" s="623" t="s">
        <v>52</v>
      </c>
      <c r="AV7" s="623" t="s">
        <v>53</v>
      </c>
      <c r="AW7" s="623" t="s">
        <v>54</v>
      </c>
      <c r="AX7" s="623" t="s">
        <v>55</v>
      </c>
      <c r="AY7" s="623" t="s">
        <v>56</v>
      </c>
      <c r="AZ7" s="623" t="s">
        <v>57</v>
      </c>
      <c r="BA7" s="623" t="s">
        <v>58</v>
      </c>
      <c r="BB7" s="623" t="s">
        <v>59</v>
      </c>
      <c r="BC7" s="623" t="s">
        <v>60</v>
      </c>
      <c r="BD7" s="623" t="s">
        <v>61</v>
      </c>
      <c r="BE7" s="623" t="s">
        <v>62</v>
      </c>
      <c r="BF7" s="623" t="s">
        <v>63</v>
      </c>
      <c r="BG7" s="623" t="s">
        <v>64</v>
      </c>
      <c r="BH7" s="623" t="s">
        <v>65</v>
      </c>
      <c r="BI7" s="623" t="s">
        <v>66</v>
      </c>
      <c r="BJ7" s="623" t="s">
        <v>67</v>
      </c>
      <c r="BK7" s="623" t="s">
        <v>68</v>
      </c>
      <c r="BL7" s="623" t="s">
        <v>69</v>
      </c>
      <c r="BM7" s="623" t="s">
        <v>70</v>
      </c>
      <c r="BN7" s="623" t="s">
        <v>71</v>
      </c>
      <c r="BO7" s="623" t="s">
        <v>72</v>
      </c>
      <c r="BP7" s="623" t="s">
        <v>73</v>
      </c>
      <c r="BQ7" s="623" t="s">
        <v>74</v>
      </c>
      <c r="BR7" s="623" t="s">
        <v>75</v>
      </c>
      <c r="BS7" s="623" t="s">
        <v>76</v>
      </c>
      <c r="BT7" s="623" t="s">
        <v>77</v>
      </c>
      <c r="BU7" s="623" t="s">
        <v>78</v>
      </c>
      <c r="BV7" s="623" t="s">
        <v>79</v>
      </c>
      <c r="BW7" s="623" t="s">
        <v>80</v>
      </c>
      <c r="BX7" s="623" t="s">
        <v>81</v>
      </c>
      <c r="BY7" s="623" t="s">
        <v>82</v>
      </c>
      <c r="BZ7" s="623" t="s">
        <v>83</v>
      </c>
      <c r="CA7" s="623" t="s">
        <v>84</v>
      </c>
      <c r="CB7" s="623" t="s">
        <v>85</v>
      </c>
      <c r="CC7" s="623" t="s">
        <v>86</v>
      </c>
      <c r="CD7" s="623" t="s">
        <v>87</v>
      </c>
      <c r="CE7" s="623" t="s">
        <v>88</v>
      </c>
      <c r="CF7" s="623" t="s">
        <v>89</v>
      </c>
      <c r="CG7" s="623" t="s">
        <v>90</v>
      </c>
      <c r="CH7" s="623" t="s">
        <v>91</v>
      </c>
      <c r="CI7" s="623" t="s">
        <v>92</v>
      </c>
      <c r="CJ7" s="623" t="s">
        <v>93</v>
      </c>
      <c r="CK7" s="623" t="s">
        <v>94</v>
      </c>
      <c r="CL7" s="623" t="s">
        <v>95</v>
      </c>
    </row>
    <row r="8" spans="1:90">
      <c r="A8" s="623" t="s">
        <v>96</v>
      </c>
      <c r="B8" s="623" t="s">
        <v>97</v>
      </c>
      <c r="C8" s="627">
        <v>2.034611398</v>
      </c>
      <c r="D8" s="627">
        <v>2.0596500770000001</v>
      </c>
      <c r="E8" s="627">
        <v>2.0647060370000001</v>
      </c>
      <c r="F8" s="627">
        <v>2.0867602860000001</v>
      </c>
      <c r="G8" s="627">
        <v>2.104414818</v>
      </c>
      <c r="H8" s="627">
        <v>2.1147152070000002</v>
      </c>
      <c r="I8" s="627">
        <v>2.1510993429999998</v>
      </c>
      <c r="J8" s="627">
        <v>2.1700303559999998</v>
      </c>
      <c r="K8" s="627">
        <v>2.187209223</v>
      </c>
      <c r="L8" s="627">
        <v>2.212539628</v>
      </c>
      <c r="M8" s="627">
        <v>2.2351374509999999</v>
      </c>
      <c r="N8" s="627">
        <v>2.2204817979999998</v>
      </c>
      <c r="O8" s="627">
        <v>2.232011623</v>
      </c>
      <c r="P8" s="627">
        <v>2.2583096839999999</v>
      </c>
      <c r="Q8" s="627">
        <v>2.275645409</v>
      </c>
      <c r="R8" s="627">
        <v>2.3021267459999999</v>
      </c>
      <c r="S8" s="627">
        <v>2.3193677080000001</v>
      </c>
      <c r="T8" s="627">
        <v>2.3630887079999998</v>
      </c>
      <c r="U8" s="627">
        <v>2.4040177520000001</v>
      </c>
      <c r="V8" s="627">
        <v>2.350887207</v>
      </c>
      <c r="W8" s="627">
        <v>2.3397884210000002</v>
      </c>
      <c r="X8" s="627">
        <v>2.3463315589999998</v>
      </c>
      <c r="Y8" s="627">
        <v>2.3660251529999998</v>
      </c>
      <c r="Z8" s="627">
        <v>2.3807257489999998</v>
      </c>
      <c r="AA8" s="627">
        <v>2.3786733940000002</v>
      </c>
      <c r="AB8" s="627">
        <v>2.383361378</v>
      </c>
      <c r="AC8" s="627">
        <v>2.3978430589999999</v>
      </c>
      <c r="AD8" s="627">
        <v>2.4216897089999998</v>
      </c>
      <c r="AE8" s="627">
        <v>2.4317072319999999</v>
      </c>
      <c r="AF8" s="627">
        <v>2.4769564499999999</v>
      </c>
      <c r="AG8" s="627">
        <v>2.4885116549999999</v>
      </c>
      <c r="AH8" s="627">
        <v>2.4969754819999999</v>
      </c>
      <c r="AI8" s="627">
        <v>2.5130795410000002</v>
      </c>
      <c r="AJ8" s="627">
        <v>2.519446614</v>
      </c>
      <c r="AK8" s="627">
        <v>2.5296385770000001</v>
      </c>
      <c r="AL8" s="627">
        <v>2.5501989460000001</v>
      </c>
      <c r="AM8" s="627">
        <v>2.5571200369999998</v>
      </c>
      <c r="AN8" s="627">
        <v>2.5546952040000002</v>
      </c>
      <c r="AO8" s="627">
        <v>2.5737560859999999</v>
      </c>
      <c r="AP8" s="627">
        <v>2.5883411609999998</v>
      </c>
      <c r="AQ8" s="627">
        <v>2.5966793579999998</v>
      </c>
      <c r="AR8" s="627">
        <v>2.6079522449999999</v>
      </c>
      <c r="AS8" s="627">
        <v>2.6142540099999998</v>
      </c>
      <c r="AT8" s="627">
        <v>2.6167589769999999</v>
      </c>
      <c r="AU8" s="627">
        <v>2.6115923570000001</v>
      </c>
      <c r="AV8" s="627">
        <v>2.6227548399999998</v>
      </c>
      <c r="AW8" s="627">
        <v>2.6191293010000001</v>
      </c>
      <c r="AX8" s="627">
        <v>2.6262771489999999</v>
      </c>
      <c r="AY8" s="627">
        <v>2.6194265309999998</v>
      </c>
      <c r="AZ8" s="627">
        <v>2.6415043140000001</v>
      </c>
      <c r="BA8" s="627">
        <v>2.6620623010000002</v>
      </c>
      <c r="BB8" s="627">
        <v>2.6772902090000001</v>
      </c>
      <c r="BC8" s="627">
        <v>2.6914853962941399</v>
      </c>
      <c r="BD8" s="627">
        <v>2.69654133318158</v>
      </c>
      <c r="BE8" s="627">
        <v>2.7084120237752298</v>
      </c>
      <c r="BF8" s="627">
        <v>2.7223361050183401</v>
      </c>
      <c r="BG8" s="627">
        <v>2.7579466825213701</v>
      </c>
      <c r="BH8" s="627">
        <v>2.7731673220855502</v>
      </c>
      <c r="BI8" s="627">
        <v>2.77954066277427</v>
      </c>
      <c r="BJ8" s="627">
        <v>2.7919156034757302</v>
      </c>
      <c r="BK8" s="627">
        <v>2.8014520174072501</v>
      </c>
      <c r="BL8" s="627">
        <v>2.8132248702518301</v>
      </c>
      <c r="BM8" s="627">
        <v>2.8296046782151598</v>
      </c>
      <c r="BN8" s="627">
        <v>2.8414135675033099</v>
      </c>
      <c r="BO8" s="627">
        <v>2.8561996883876799</v>
      </c>
      <c r="BP8" s="627">
        <v>2.85550017170655</v>
      </c>
      <c r="BQ8" s="627">
        <v>2.88999160387382</v>
      </c>
      <c r="BR8" s="627">
        <v>2.9067999885575801</v>
      </c>
      <c r="BS8" s="627">
        <v>2.92580381836104</v>
      </c>
      <c r="BT8" s="627">
        <v>2.9766118630188299</v>
      </c>
      <c r="BU8" s="627">
        <v>3.0267534887955501</v>
      </c>
      <c r="BV8" s="627">
        <v>3.0869388405814999</v>
      </c>
      <c r="BW8" s="627">
        <v>3.1562914112317602</v>
      </c>
      <c r="BX8" s="627">
        <v>3.20389935377507</v>
      </c>
      <c r="BY8" s="627">
        <v>3.2323994161973499</v>
      </c>
      <c r="BZ8" s="627">
        <v>3.2530028438127299</v>
      </c>
      <c r="CA8" s="627">
        <v>3.2709847547789499</v>
      </c>
      <c r="CB8" s="627">
        <v>3.2879150656466001</v>
      </c>
      <c r="CC8" s="627">
        <v>3.3053421241160401</v>
      </c>
      <c r="CD8" s="627">
        <v>3.3218178958700499</v>
      </c>
      <c r="CE8" s="627">
        <v>3.3429244230335899</v>
      </c>
      <c r="CF8" s="627">
        <v>3.3627309115831601</v>
      </c>
      <c r="CG8" s="627">
        <v>3.37712932230647</v>
      </c>
      <c r="CH8" s="627">
        <v>3.3927846607812699</v>
      </c>
      <c r="CI8" s="627">
        <v>3.4102905262835899</v>
      </c>
      <c r="CJ8" s="627">
        <v>3.4277155435108102</v>
      </c>
      <c r="CK8" s="627">
        <v>3.4436252077793998</v>
      </c>
      <c r="CL8" s="627">
        <v>3.4610762706984799</v>
      </c>
    </row>
    <row r="9" spans="1:90">
      <c r="A9" s="623" t="s">
        <v>98</v>
      </c>
      <c r="B9" s="623" t="s">
        <v>99</v>
      </c>
      <c r="C9" s="627">
        <v>2.034611398</v>
      </c>
      <c r="D9" s="627">
        <v>2.0596500770000001</v>
      </c>
      <c r="E9" s="627">
        <v>2.0647060370000001</v>
      </c>
      <c r="F9" s="627">
        <v>2.0867602860000001</v>
      </c>
      <c r="G9" s="627">
        <v>2.104414818</v>
      </c>
      <c r="H9" s="627">
        <v>2.1147152070000002</v>
      </c>
      <c r="I9" s="627">
        <v>2.1510993429999998</v>
      </c>
      <c r="J9" s="627">
        <v>2.1700303559999998</v>
      </c>
      <c r="K9" s="627">
        <v>2.187209223</v>
      </c>
      <c r="L9" s="627">
        <v>2.212539628</v>
      </c>
      <c r="M9" s="627">
        <v>2.2351374509999999</v>
      </c>
      <c r="N9" s="627">
        <v>2.2204817979999998</v>
      </c>
      <c r="O9" s="627">
        <v>2.232011623</v>
      </c>
      <c r="P9" s="627">
        <v>2.2583096839999999</v>
      </c>
      <c r="Q9" s="627">
        <v>2.275645409</v>
      </c>
      <c r="R9" s="627">
        <v>2.3021267459999999</v>
      </c>
      <c r="S9" s="627">
        <v>2.3193677080000001</v>
      </c>
      <c r="T9" s="627">
        <v>2.3630887079999998</v>
      </c>
      <c r="U9" s="627">
        <v>2.4040177520000001</v>
      </c>
      <c r="V9" s="627">
        <v>2.350887207</v>
      </c>
      <c r="W9" s="627">
        <v>2.3397884210000002</v>
      </c>
      <c r="X9" s="627">
        <v>2.3463315589999998</v>
      </c>
      <c r="Y9" s="627">
        <v>2.3660251529999998</v>
      </c>
      <c r="Z9" s="627">
        <v>2.3807257489999998</v>
      </c>
      <c r="AA9" s="627">
        <v>2.3786733940000002</v>
      </c>
      <c r="AB9" s="627">
        <v>2.383361378</v>
      </c>
      <c r="AC9" s="627">
        <v>2.3978430589999999</v>
      </c>
      <c r="AD9" s="627">
        <v>2.4216897089999998</v>
      </c>
      <c r="AE9" s="627">
        <v>2.4317072319999999</v>
      </c>
      <c r="AF9" s="627">
        <v>2.4769564499999999</v>
      </c>
      <c r="AG9" s="627">
        <v>2.4885116549999999</v>
      </c>
      <c r="AH9" s="627">
        <v>2.4969754819999999</v>
      </c>
      <c r="AI9" s="627">
        <v>2.5130795410000002</v>
      </c>
      <c r="AJ9" s="627">
        <v>2.519446614</v>
      </c>
      <c r="AK9" s="627">
        <v>2.5296385770000001</v>
      </c>
      <c r="AL9" s="627">
        <v>2.5501989460000001</v>
      </c>
      <c r="AM9" s="627">
        <v>2.5571200369999998</v>
      </c>
      <c r="AN9" s="627">
        <v>2.5546952040000002</v>
      </c>
      <c r="AO9" s="627">
        <v>2.5737560859999999</v>
      </c>
      <c r="AP9" s="627">
        <v>2.5883411609999998</v>
      </c>
      <c r="AQ9" s="627">
        <v>2.5966793579999998</v>
      </c>
      <c r="AR9" s="627">
        <v>2.6079522449999999</v>
      </c>
      <c r="AS9" s="627">
        <v>2.6142540099999998</v>
      </c>
      <c r="AT9" s="627">
        <v>2.6167589769999999</v>
      </c>
      <c r="AU9" s="627">
        <v>2.6115923570000001</v>
      </c>
      <c r="AV9" s="627">
        <v>2.6227548399999998</v>
      </c>
      <c r="AW9" s="627">
        <v>2.6191293010000001</v>
      </c>
      <c r="AX9" s="627">
        <v>2.6262771489999999</v>
      </c>
      <c r="AY9" s="627">
        <v>2.6194265309999998</v>
      </c>
      <c r="AZ9" s="627">
        <v>2.6415043140000001</v>
      </c>
      <c r="BA9" s="627">
        <v>2.6620623010000002</v>
      </c>
      <c r="BB9" s="627">
        <v>2.6772902090000001</v>
      </c>
      <c r="BC9" s="627">
        <v>2.6914853962941399</v>
      </c>
      <c r="BD9" s="627">
        <v>2.69654133318158</v>
      </c>
      <c r="BE9" s="627">
        <v>2.7084120237752298</v>
      </c>
      <c r="BF9" s="627">
        <v>2.7223361050183401</v>
      </c>
      <c r="BG9" s="627">
        <v>2.7579466825213701</v>
      </c>
      <c r="BH9" s="627">
        <v>2.7731673220855502</v>
      </c>
      <c r="BI9" s="627">
        <v>2.77954066277427</v>
      </c>
      <c r="BJ9" s="627">
        <v>2.7919156034757302</v>
      </c>
      <c r="BK9" s="627">
        <v>2.8014520174072501</v>
      </c>
      <c r="BL9" s="627">
        <v>2.8132248702518301</v>
      </c>
      <c r="BM9" s="627">
        <v>2.8296046782151598</v>
      </c>
      <c r="BN9" s="627">
        <v>2.8414135675033099</v>
      </c>
      <c r="BO9" s="627">
        <v>2.8561996883876799</v>
      </c>
      <c r="BP9" s="627">
        <v>2.85550017170655</v>
      </c>
      <c r="BQ9" s="627">
        <v>2.88999160387382</v>
      </c>
      <c r="BR9" s="627">
        <v>2.9067999885575801</v>
      </c>
      <c r="BS9" s="627">
        <v>2.92580381836104</v>
      </c>
      <c r="BT9" s="627">
        <v>2.9766118630188299</v>
      </c>
      <c r="BU9" s="627">
        <v>3.0267534887955501</v>
      </c>
      <c r="BV9" s="627">
        <v>3.0869388405814999</v>
      </c>
      <c r="BW9" s="627">
        <v>3.1562914112317602</v>
      </c>
      <c r="BX9" s="627">
        <v>3.1968677920894399</v>
      </c>
      <c r="BY9" s="627">
        <v>3.2184546488518402</v>
      </c>
      <c r="BZ9" s="627">
        <v>3.2323635909089199</v>
      </c>
      <c r="CA9" s="627">
        <v>3.2448000854182699</v>
      </c>
      <c r="CB9" s="627">
        <v>3.2572396560179899</v>
      </c>
      <c r="CC9" s="627">
        <v>3.2703584032144799</v>
      </c>
      <c r="CD9" s="627">
        <v>3.2835105063532399</v>
      </c>
      <c r="CE9" s="627">
        <v>3.3005249030113699</v>
      </c>
      <c r="CF9" s="627">
        <v>3.3163270143953998</v>
      </c>
      <c r="CG9" s="627">
        <v>3.3268077845734401</v>
      </c>
      <c r="CH9" s="627">
        <v>3.3382951908102698</v>
      </c>
      <c r="CI9" s="627">
        <v>3.3519760754206902</v>
      </c>
      <c r="CJ9" s="627">
        <v>3.3660588664270001</v>
      </c>
      <c r="CK9" s="627">
        <v>3.3787148425748801</v>
      </c>
      <c r="CL9" s="627">
        <v>3.3929911961069799</v>
      </c>
    </row>
    <row r="10" spans="1:90">
      <c r="A10" s="623" t="s">
        <v>100</v>
      </c>
      <c r="B10" s="623" t="s">
        <v>101</v>
      </c>
      <c r="C10" s="627">
        <v>2.034611398</v>
      </c>
      <c r="D10" s="627">
        <v>2.0596500770000001</v>
      </c>
      <c r="E10" s="627">
        <v>2.0647060370000001</v>
      </c>
      <c r="F10" s="627">
        <v>2.0867602860000001</v>
      </c>
      <c r="G10" s="627">
        <v>2.104414818</v>
      </c>
      <c r="H10" s="627">
        <v>2.1147152070000002</v>
      </c>
      <c r="I10" s="627">
        <v>2.1510993429999998</v>
      </c>
      <c r="J10" s="627">
        <v>2.1700303559999998</v>
      </c>
      <c r="K10" s="627">
        <v>2.187209223</v>
      </c>
      <c r="L10" s="627">
        <v>2.212539628</v>
      </c>
      <c r="M10" s="627">
        <v>2.2351374509999999</v>
      </c>
      <c r="N10" s="627">
        <v>2.2204817979999998</v>
      </c>
      <c r="O10" s="627">
        <v>2.232011623</v>
      </c>
      <c r="P10" s="627">
        <v>2.2583096839999999</v>
      </c>
      <c r="Q10" s="627">
        <v>2.275645409</v>
      </c>
      <c r="R10" s="627">
        <v>2.3021267459999999</v>
      </c>
      <c r="S10" s="627">
        <v>2.3193677080000001</v>
      </c>
      <c r="T10" s="627">
        <v>2.3630887079999998</v>
      </c>
      <c r="U10" s="627">
        <v>2.4040177520000001</v>
      </c>
      <c r="V10" s="627">
        <v>2.350887207</v>
      </c>
      <c r="W10" s="627">
        <v>2.3397884210000002</v>
      </c>
      <c r="X10" s="627">
        <v>2.3463315589999998</v>
      </c>
      <c r="Y10" s="627">
        <v>2.3660251529999998</v>
      </c>
      <c r="Z10" s="627">
        <v>2.3807257489999998</v>
      </c>
      <c r="AA10" s="627">
        <v>2.3786733940000002</v>
      </c>
      <c r="AB10" s="627">
        <v>2.383361378</v>
      </c>
      <c r="AC10" s="627">
        <v>2.3978430589999999</v>
      </c>
      <c r="AD10" s="627">
        <v>2.4216897089999998</v>
      </c>
      <c r="AE10" s="627">
        <v>2.4317072319999999</v>
      </c>
      <c r="AF10" s="627">
        <v>2.4769564499999999</v>
      </c>
      <c r="AG10" s="627">
        <v>2.4885116549999999</v>
      </c>
      <c r="AH10" s="627">
        <v>2.4969754819999999</v>
      </c>
      <c r="AI10" s="627">
        <v>2.5130795410000002</v>
      </c>
      <c r="AJ10" s="627">
        <v>2.519446614</v>
      </c>
      <c r="AK10" s="627">
        <v>2.5296385770000001</v>
      </c>
      <c r="AL10" s="627">
        <v>2.5501989460000001</v>
      </c>
      <c r="AM10" s="627">
        <v>2.5571200369999998</v>
      </c>
      <c r="AN10" s="627">
        <v>2.5546952040000002</v>
      </c>
      <c r="AO10" s="627">
        <v>2.5737560859999999</v>
      </c>
      <c r="AP10" s="627">
        <v>2.5883411609999998</v>
      </c>
      <c r="AQ10" s="627">
        <v>2.5966793579999998</v>
      </c>
      <c r="AR10" s="627">
        <v>2.6079522449999999</v>
      </c>
      <c r="AS10" s="627">
        <v>2.6142540099999998</v>
      </c>
      <c r="AT10" s="627">
        <v>2.6167589769999999</v>
      </c>
      <c r="AU10" s="627">
        <v>2.6115923570000001</v>
      </c>
      <c r="AV10" s="627">
        <v>2.6227548399999998</v>
      </c>
      <c r="AW10" s="627">
        <v>2.6191293010000001</v>
      </c>
      <c r="AX10" s="627">
        <v>2.6262771489999999</v>
      </c>
      <c r="AY10" s="627">
        <v>2.6194265309999998</v>
      </c>
      <c r="AZ10" s="627">
        <v>2.6415043140000001</v>
      </c>
      <c r="BA10" s="627">
        <v>2.6620623010000002</v>
      </c>
      <c r="BB10" s="627">
        <v>2.6772902090000001</v>
      </c>
      <c r="BC10" s="627">
        <v>2.6914853962941399</v>
      </c>
      <c r="BD10" s="627">
        <v>2.69654133318158</v>
      </c>
      <c r="BE10" s="627">
        <v>2.7084120237752298</v>
      </c>
      <c r="BF10" s="627">
        <v>2.7223361050183401</v>
      </c>
      <c r="BG10" s="627">
        <v>2.7579466825213701</v>
      </c>
      <c r="BH10" s="627">
        <v>2.7731673220855502</v>
      </c>
      <c r="BI10" s="627">
        <v>2.77954066277427</v>
      </c>
      <c r="BJ10" s="627">
        <v>2.7919156034757302</v>
      </c>
      <c r="BK10" s="627">
        <v>2.8014520174072501</v>
      </c>
      <c r="BL10" s="627">
        <v>2.8132248702518301</v>
      </c>
      <c r="BM10" s="627">
        <v>2.8296046782151598</v>
      </c>
      <c r="BN10" s="627">
        <v>2.8414135675033099</v>
      </c>
      <c r="BO10" s="627">
        <v>2.8561996883876799</v>
      </c>
      <c r="BP10" s="627">
        <v>2.85550017170655</v>
      </c>
      <c r="BQ10" s="627">
        <v>2.88999160387382</v>
      </c>
      <c r="BR10" s="627">
        <v>2.9067999885575801</v>
      </c>
      <c r="BS10" s="627">
        <v>2.92580381836104</v>
      </c>
      <c r="BT10" s="627">
        <v>2.9766118630188299</v>
      </c>
      <c r="BU10" s="627">
        <v>3.0267534887955501</v>
      </c>
      <c r="BV10" s="627">
        <v>3.0869388405814999</v>
      </c>
      <c r="BW10" s="627">
        <v>3.1562914112317602</v>
      </c>
      <c r="BX10" s="627">
        <v>3.2127397437715</v>
      </c>
      <c r="BY10" s="627">
        <v>3.2510156303512701</v>
      </c>
      <c r="BZ10" s="627">
        <v>3.2806537450530802</v>
      </c>
      <c r="CA10" s="627">
        <v>3.3069485707297099</v>
      </c>
      <c r="CB10" s="627">
        <v>3.3322107382074</v>
      </c>
      <c r="CC10" s="627">
        <v>3.3573893619030701</v>
      </c>
      <c r="CD10" s="627">
        <v>3.3812836854989001</v>
      </c>
      <c r="CE10" s="627">
        <v>3.4103061938772101</v>
      </c>
      <c r="CF10" s="627">
        <v>3.4382950646695201</v>
      </c>
      <c r="CG10" s="627">
        <v>3.46124259495403</v>
      </c>
      <c r="CH10" s="627">
        <v>3.4858055567096802</v>
      </c>
      <c r="CI10" s="627">
        <v>3.5123481287907801</v>
      </c>
      <c r="CJ10" s="627">
        <v>3.5390701334807502</v>
      </c>
      <c r="CK10" s="627">
        <v>3.5647747183835898</v>
      </c>
      <c r="CL10" s="627">
        <v>3.5926052979961902</v>
      </c>
    </row>
    <row r="12" spans="1:90">
      <c r="C12" s="628"/>
      <c r="D12" s="628"/>
      <c r="E12" s="628"/>
      <c r="F12" s="628"/>
      <c r="G12" s="628"/>
      <c r="H12" s="628"/>
      <c r="I12" s="628"/>
      <c r="J12" s="628"/>
      <c r="K12" s="628"/>
      <c r="L12" s="628"/>
      <c r="M12" s="628"/>
      <c r="N12" s="628"/>
      <c r="O12" s="628"/>
      <c r="P12" s="628"/>
      <c r="Q12" s="628"/>
      <c r="R12" s="628"/>
      <c r="S12" s="628"/>
      <c r="T12" s="628"/>
      <c r="U12" s="628"/>
      <c r="V12" s="628"/>
      <c r="W12" s="628"/>
      <c r="X12" s="628"/>
      <c r="Y12" s="628"/>
      <c r="Z12" s="628"/>
      <c r="AA12" s="628"/>
      <c r="AB12" s="628"/>
      <c r="AC12" s="628"/>
      <c r="AD12" s="628"/>
      <c r="AE12" s="628"/>
      <c r="AF12" s="628"/>
      <c r="AG12" s="628"/>
      <c r="AH12" s="628"/>
      <c r="AI12" s="628"/>
      <c r="AJ12" s="628"/>
      <c r="AK12" s="628"/>
      <c r="AL12" s="628"/>
      <c r="AM12" s="628"/>
      <c r="AN12" s="628"/>
      <c r="AO12" s="628"/>
      <c r="AP12" s="628"/>
      <c r="AQ12" s="628"/>
      <c r="AR12" s="628"/>
      <c r="AS12" s="628"/>
      <c r="AT12" s="628"/>
    </row>
    <row r="13" spans="1:90">
      <c r="C13" s="628"/>
      <c r="D13" s="628"/>
      <c r="E13" s="628"/>
      <c r="F13" s="628"/>
      <c r="G13" s="628"/>
      <c r="H13" s="628"/>
      <c r="I13" s="628"/>
      <c r="J13" s="628"/>
      <c r="K13" s="628"/>
      <c r="L13" s="628"/>
      <c r="M13" s="628"/>
      <c r="N13" s="628"/>
      <c r="O13" s="628"/>
      <c r="P13" s="628"/>
      <c r="Q13" s="628"/>
      <c r="R13" s="628"/>
      <c r="S13" s="628"/>
      <c r="T13" s="628"/>
      <c r="U13" s="628"/>
      <c r="V13" s="628"/>
      <c r="W13" s="628"/>
      <c r="X13" s="628"/>
      <c r="Y13" s="628"/>
      <c r="Z13" s="628"/>
      <c r="AA13" s="628"/>
      <c r="AB13" s="628"/>
      <c r="AC13" s="628"/>
      <c r="AD13" s="628"/>
      <c r="AE13" s="628"/>
      <c r="AF13" s="628"/>
      <c r="AG13" s="628"/>
      <c r="AH13" s="628"/>
      <c r="AI13" s="628"/>
      <c r="AJ13" s="628"/>
      <c r="AK13" s="628"/>
      <c r="AL13" s="628"/>
      <c r="AM13" s="628"/>
      <c r="AN13" s="628"/>
      <c r="AO13" s="628"/>
      <c r="AP13" s="628"/>
      <c r="AQ13" s="628"/>
      <c r="AR13" s="628"/>
      <c r="AS13" s="628"/>
      <c r="AT13" s="628"/>
      <c r="BX13" s="629" t="s">
        <v>102</v>
      </c>
      <c r="BY13" s="630"/>
      <c r="BZ13" s="630"/>
      <c r="CA13" s="631" t="s">
        <v>590</v>
      </c>
      <c r="CB13" s="632"/>
      <c r="CC13" s="632"/>
      <c r="CD13" s="632"/>
      <c r="CE13" s="632"/>
      <c r="CF13" s="632"/>
      <c r="CG13" s="630"/>
      <c r="CH13" s="630"/>
      <c r="CI13" s="630"/>
    </row>
    <row r="14" spans="1:90">
      <c r="C14" s="627"/>
      <c r="D14" s="627"/>
      <c r="E14" s="627"/>
      <c r="F14" s="627"/>
      <c r="G14" s="627"/>
      <c r="H14" s="627"/>
      <c r="I14" s="627"/>
      <c r="J14" s="627"/>
      <c r="K14" s="627"/>
      <c r="L14" s="627"/>
      <c r="M14" s="627"/>
      <c r="N14" s="627"/>
      <c r="O14" s="627"/>
      <c r="P14" s="627"/>
      <c r="Q14" s="627"/>
      <c r="R14" s="627"/>
      <c r="S14" s="627"/>
      <c r="T14" s="627"/>
      <c r="U14" s="627"/>
      <c r="V14" s="627"/>
      <c r="W14" s="627"/>
      <c r="X14" s="627"/>
      <c r="Y14" s="627"/>
      <c r="Z14" s="627"/>
      <c r="AA14" s="627"/>
      <c r="AB14" s="627"/>
      <c r="AC14" s="627"/>
      <c r="AD14" s="627"/>
      <c r="AE14" s="627"/>
      <c r="AF14" s="627"/>
      <c r="AG14" s="627"/>
      <c r="AH14" s="627"/>
      <c r="AI14" s="627"/>
      <c r="AJ14" s="627"/>
      <c r="AK14" s="627"/>
      <c r="AL14" s="627"/>
      <c r="AM14" s="627"/>
      <c r="AN14" s="627"/>
      <c r="AO14" s="627"/>
      <c r="AP14" s="627"/>
      <c r="AQ14" s="627"/>
      <c r="AR14" s="627"/>
      <c r="AS14" s="627"/>
      <c r="AT14" s="627"/>
      <c r="BX14" s="633"/>
      <c r="BY14" s="634"/>
      <c r="BZ14" s="634"/>
      <c r="CA14" s="634"/>
      <c r="CB14" s="634"/>
      <c r="CC14" s="634"/>
      <c r="CD14" s="634"/>
      <c r="CE14" s="634"/>
      <c r="CF14" s="634"/>
      <c r="CG14" s="634"/>
      <c r="CH14" s="634"/>
      <c r="CI14" s="635"/>
    </row>
    <row r="15" spans="1:90">
      <c r="C15" s="627"/>
      <c r="D15" s="627"/>
      <c r="E15" s="627"/>
      <c r="F15" s="627"/>
      <c r="G15" s="627"/>
      <c r="H15" s="627"/>
      <c r="I15" s="627"/>
      <c r="J15" s="627"/>
      <c r="K15" s="627"/>
      <c r="L15" s="627"/>
      <c r="M15" s="627"/>
      <c r="N15" s="627"/>
      <c r="O15" s="627"/>
      <c r="P15" s="627"/>
      <c r="Q15" s="627"/>
      <c r="R15" s="627"/>
      <c r="S15" s="627"/>
      <c r="T15" s="627"/>
      <c r="U15" s="627"/>
      <c r="V15" s="627"/>
      <c r="W15" s="627"/>
      <c r="X15" s="627"/>
      <c r="Y15" s="627"/>
      <c r="Z15" s="627"/>
      <c r="AA15" s="627"/>
      <c r="AB15" s="627"/>
      <c r="AC15" s="627"/>
      <c r="AD15" s="627"/>
      <c r="AE15" s="627"/>
      <c r="AF15" s="627"/>
      <c r="AG15" s="627"/>
      <c r="AH15" s="627"/>
      <c r="AI15" s="627"/>
      <c r="AJ15" s="627"/>
      <c r="AK15" s="627"/>
      <c r="AL15" s="627"/>
      <c r="AM15" s="627"/>
      <c r="AN15" s="627"/>
      <c r="AO15" s="627"/>
      <c r="AP15" s="627"/>
      <c r="AQ15" s="627"/>
      <c r="AR15" s="627"/>
      <c r="AS15" s="627"/>
      <c r="AT15" s="627"/>
      <c r="BX15" s="636"/>
      <c r="BY15" s="637" t="s">
        <v>103</v>
      </c>
      <c r="BZ15" s="638" t="s">
        <v>591</v>
      </c>
      <c r="CA15" s="630"/>
      <c r="CB15" s="630"/>
      <c r="CC15" s="630"/>
      <c r="CD15" s="630"/>
      <c r="CE15" s="630"/>
      <c r="CF15" s="630"/>
      <c r="CG15" s="630"/>
      <c r="CH15" s="630"/>
      <c r="CI15" s="639"/>
    </row>
    <row r="16" spans="1:90">
      <c r="C16" s="627"/>
      <c r="D16" s="627"/>
      <c r="E16" s="627"/>
      <c r="F16" s="627"/>
      <c r="G16" s="627"/>
      <c r="H16" s="627"/>
      <c r="I16" s="627"/>
      <c r="J16" s="627"/>
      <c r="K16" s="627"/>
      <c r="L16" s="627"/>
      <c r="M16" s="627"/>
      <c r="N16" s="627"/>
      <c r="O16" s="627"/>
      <c r="P16" s="627"/>
      <c r="Q16" s="627"/>
      <c r="R16" s="627"/>
      <c r="S16" s="627"/>
      <c r="T16" s="627"/>
      <c r="U16" s="627"/>
      <c r="V16" s="627"/>
      <c r="W16" s="627"/>
      <c r="X16" s="627"/>
      <c r="Y16" s="627"/>
      <c r="Z16" s="627"/>
      <c r="AA16" s="627"/>
      <c r="AB16" s="627"/>
      <c r="AC16" s="627"/>
      <c r="AD16" s="627"/>
      <c r="AE16" s="627"/>
      <c r="AF16" s="627"/>
      <c r="AG16" s="627"/>
      <c r="AH16" s="627"/>
      <c r="AI16" s="627"/>
      <c r="AJ16" s="627"/>
      <c r="AK16" s="627"/>
      <c r="AL16" s="627"/>
      <c r="AM16" s="627"/>
      <c r="AN16" s="627"/>
      <c r="AO16" s="627"/>
      <c r="AP16" s="627"/>
      <c r="AQ16" s="627"/>
      <c r="AR16" s="627"/>
      <c r="AS16" s="627"/>
      <c r="AT16" s="627"/>
      <c r="BX16" s="636"/>
      <c r="BY16" s="630"/>
      <c r="BZ16" s="640" t="str">
        <f>BZ7</f>
        <v>2022Q4</v>
      </c>
      <c r="CA16" s="630"/>
      <c r="CB16" s="630"/>
      <c r="CC16" s="630"/>
      <c r="CD16" s="630"/>
      <c r="CE16" s="630"/>
      <c r="CF16" s="630"/>
      <c r="CG16" s="630"/>
      <c r="CH16" s="630"/>
      <c r="CI16" s="641" t="s">
        <v>104</v>
      </c>
    </row>
    <row r="17" spans="3:87">
      <c r="C17" s="642"/>
      <c r="D17" s="642"/>
      <c r="E17" s="642"/>
      <c r="F17" s="642"/>
      <c r="G17" s="642"/>
      <c r="H17" s="642"/>
      <c r="I17" s="642"/>
      <c r="J17" s="642"/>
      <c r="K17" s="642"/>
      <c r="L17" s="642"/>
      <c r="M17" s="642"/>
      <c r="N17" s="642"/>
      <c r="O17" s="642"/>
      <c r="P17" s="642"/>
      <c r="Q17" s="642"/>
      <c r="R17" s="642"/>
      <c r="S17" s="642"/>
      <c r="T17" s="642"/>
      <c r="U17" s="642"/>
      <c r="V17" s="642"/>
      <c r="W17" s="642"/>
      <c r="X17" s="642"/>
      <c r="Y17" s="642"/>
      <c r="Z17" s="642"/>
      <c r="AA17" s="642"/>
      <c r="AB17" s="642"/>
      <c r="AC17" s="642"/>
      <c r="AD17" s="642"/>
      <c r="AE17" s="642"/>
      <c r="AF17" s="642"/>
      <c r="AG17" s="642"/>
      <c r="AH17" s="642"/>
      <c r="AI17" s="642"/>
      <c r="AJ17" s="642"/>
      <c r="AK17" s="642"/>
      <c r="AL17" s="642"/>
      <c r="AM17" s="642"/>
      <c r="AN17" s="642"/>
      <c r="AO17" s="642"/>
      <c r="AP17" s="642"/>
      <c r="BX17" s="636"/>
      <c r="BY17" s="630"/>
      <c r="BZ17" s="643">
        <f>BZ9</f>
        <v>3.2323635909089199</v>
      </c>
      <c r="CA17" s="630"/>
      <c r="CB17" s="630"/>
      <c r="CC17" s="630"/>
      <c r="CD17" s="630"/>
      <c r="CE17" s="630"/>
      <c r="CF17" s="630"/>
      <c r="CG17" s="630"/>
      <c r="CH17" s="630"/>
      <c r="CI17" s="644">
        <f>BZ17</f>
        <v>3.2323635909089199</v>
      </c>
    </row>
    <row r="18" spans="3:87">
      <c r="BX18" s="636"/>
      <c r="BY18" s="630"/>
      <c r="BZ18" s="630"/>
      <c r="CA18" s="630"/>
      <c r="CB18" s="630"/>
      <c r="CC18" s="630"/>
      <c r="CD18" s="630"/>
      <c r="CE18" s="630"/>
      <c r="CF18" s="630"/>
      <c r="CG18" s="630"/>
      <c r="CH18" s="630"/>
      <c r="CI18" s="645"/>
    </row>
    <row r="19" spans="3:87">
      <c r="BX19" s="1081" t="s">
        <v>105</v>
      </c>
      <c r="BY19" s="1066"/>
      <c r="BZ19" s="1066"/>
      <c r="CA19" s="630" t="s">
        <v>592</v>
      </c>
      <c r="CB19" s="630"/>
      <c r="CC19" s="630"/>
      <c r="CD19" s="630"/>
      <c r="CE19" s="630"/>
      <c r="CF19" s="630"/>
      <c r="CG19" s="630"/>
      <c r="CH19" s="630"/>
      <c r="CI19" s="645"/>
    </row>
    <row r="20" spans="3:87">
      <c r="BX20" s="646"/>
      <c r="BY20" s="637"/>
      <c r="BZ20" s="647" t="str">
        <f>CA7</f>
        <v>2023Q1</v>
      </c>
      <c r="CA20" s="647" t="str">
        <f t="shared" ref="CA20:CF20" si="0">CB7</f>
        <v>2023Q2</v>
      </c>
      <c r="CB20" s="647" t="str">
        <f t="shared" si="0"/>
        <v>2023Q3</v>
      </c>
      <c r="CC20" s="647" t="str">
        <f t="shared" si="0"/>
        <v>2023Q4</v>
      </c>
      <c r="CD20" s="647" t="str">
        <f t="shared" si="0"/>
        <v>2024Q1</v>
      </c>
      <c r="CE20" s="647" t="str">
        <f t="shared" si="0"/>
        <v>2024Q2</v>
      </c>
      <c r="CF20" s="647" t="str">
        <f t="shared" si="0"/>
        <v>2024Q3</v>
      </c>
      <c r="CG20" s="647" t="str">
        <f>CH7</f>
        <v>2024Q4</v>
      </c>
      <c r="CH20" s="630"/>
      <c r="CI20" s="645"/>
    </row>
    <row r="21" spans="3:87">
      <c r="BX21" s="636"/>
      <c r="BY21" s="630"/>
      <c r="BZ21" s="643">
        <f>CA9</f>
        <v>3.2448000854182699</v>
      </c>
      <c r="CA21" s="643">
        <f t="shared" ref="CA21:CG21" si="1">CB9</f>
        <v>3.2572396560179899</v>
      </c>
      <c r="CB21" s="643">
        <f t="shared" si="1"/>
        <v>3.2703584032144799</v>
      </c>
      <c r="CC21" s="643">
        <f t="shared" si="1"/>
        <v>3.2835105063532399</v>
      </c>
      <c r="CD21" s="643">
        <f t="shared" si="1"/>
        <v>3.3005249030113699</v>
      </c>
      <c r="CE21" s="643">
        <f t="shared" si="1"/>
        <v>3.3163270143953998</v>
      </c>
      <c r="CF21" s="643">
        <f t="shared" si="1"/>
        <v>3.3268077845734401</v>
      </c>
      <c r="CG21" s="643">
        <f t="shared" si="1"/>
        <v>3.3382951908102698</v>
      </c>
      <c r="CH21" s="630"/>
      <c r="CI21" s="644">
        <f>AVERAGE(BZ21:CG21)</f>
        <v>3.2922329429743078</v>
      </c>
    </row>
    <row r="22" spans="3:87">
      <c r="BX22" s="636"/>
      <c r="BY22" s="630"/>
      <c r="BZ22" s="630"/>
      <c r="CA22" s="630"/>
      <c r="CB22" s="630"/>
      <c r="CC22" s="630"/>
      <c r="CD22" s="630"/>
      <c r="CE22" s="630"/>
      <c r="CF22" s="630"/>
      <c r="CG22" s="630"/>
      <c r="CH22" s="630"/>
      <c r="CI22" s="645"/>
    </row>
    <row r="23" spans="3:87">
      <c r="BX23" s="636"/>
      <c r="BY23" s="630"/>
      <c r="BZ23" s="630"/>
      <c r="CA23" s="630"/>
      <c r="CB23" s="630"/>
      <c r="CC23" s="630"/>
      <c r="CD23" s="630"/>
      <c r="CE23" s="630"/>
      <c r="CF23" s="630"/>
      <c r="CG23" s="630"/>
      <c r="CH23" s="648" t="s">
        <v>106</v>
      </c>
      <c r="CI23" s="183">
        <f>(CI21-CI17)/CI17</f>
        <v>1.8521849532574713E-2</v>
      </c>
    </row>
    <row r="24" spans="3:87">
      <c r="BX24" s="649"/>
      <c r="BY24" s="650"/>
      <c r="BZ24" s="650"/>
      <c r="CA24" s="650"/>
      <c r="CB24" s="650"/>
      <c r="CC24" s="650"/>
      <c r="CD24" s="650"/>
      <c r="CE24" s="650"/>
      <c r="CF24" s="650"/>
      <c r="CG24" s="650"/>
      <c r="CH24" s="650"/>
      <c r="CI24" s="651"/>
    </row>
  </sheetData>
  <mergeCells count="2">
    <mergeCell ref="A1:B1"/>
    <mergeCell ref="BX19:BZ19"/>
  </mergeCells>
  <pageMargins left="0.25" right="0.25" top="1" bottom="1" header="0.5" footer="0.5"/>
  <pageSetup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S300"/>
  <sheetViews>
    <sheetView topLeftCell="AB1" zoomScale="85" zoomScaleNormal="85" workbookViewId="0">
      <pane ySplit="1" topLeftCell="A2" activePane="bottomLeft" state="frozen"/>
      <selection pane="bottomLeft" activeCell="AK5" sqref="AK5"/>
    </sheetView>
  </sheetViews>
  <sheetFormatPr defaultRowHeight="15"/>
  <cols>
    <col min="1" max="1" width="40.5703125" customWidth="1"/>
    <col min="2" max="2" width="18.5703125" customWidth="1"/>
    <col min="4" max="43" width="18.5703125" customWidth="1"/>
    <col min="804" max="843" width="8.85546875" style="202"/>
    <col min="1044" max="1163" width="8.85546875" style="203"/>
  </cols>
  <sheetData>
    <row r="1" spans="1:43">
      <c r="A1" s="184">
        <v>262</v>
      </c>
      <c r="C1" s="185" t="s">
        <v>182</v>
      </c>
      <c r="E1" s="186">
        <f ca="1">IF(COUNT(E12:E300)=0,"-",AVERAGE(E12:OFFSET(E12,$A$1-1,0)))</f>
        <v>10473.294825501498</v>
      </c>
      <c r="G1" s="186">
        <f ca="1">IF(COUNT(G12:G300)=0,"-",AVERAGE(G12:OFFSET(G12,$A$1-1,0)))</f>
        <v>236946.0819864572</v>
      </c>
      <c r="I1" s="186">
        <f ca="1">IF(COUNT(I12:I300)=0,"-",AVERAGE(I12:OFFSET(I12,$A$1-1,0)))</f>
        <v>154.95867768595042</v>
      </c>
      <c r="K1" s="186">
        <f ca="1">IF(COUNT(K12:K300)=0,"-",AVERAGE(K12:OFFSET(K12,$A$1-1,0)))</f>
        <v>215366.31480631392</v>
      </c>
      <c r="M1" s="186" t="str">
        <f ca="1">IF(COUNT(M12:M300)=0,"-",AVERAGE(M12:OFFSET(M12,$A$1-1,0)))</f>
        <v>-</v>
      </c>
      <c r="O1" s="186">
        <f ca="1">IF(COUNT(O12:O300)=0,"-",AVERAGE(O12:OFFSET(O12,$A$1-1,0)))</f>
        <v>277.45149912816441</v>
      </c>
      <c r="Q1" s="186">
        <f ca="1">IF(COUNT(Q12:Q300)=0,"-",AVERAGE(Q12:OFFSET(Q12,$A$1-1,0)))</f>
        <v>1815.029432333065</v>
      </c>
      <c r="S1" s="186">
        <f ca="1">IF(COUNT(S12:S300)=0,"-",AVERAGE(S12:OFFSET(S12,$A$1-1,0)))</f>
        <v>1139.1580756979151</v>
      </c>
      <c r="U1" s="186">
        <f ca="1">IF(COUNT(U12:U300)=0,"-",AVERAGE(U12:OFFSET(U12,$A$1-1,0)))</f>
        <v>487.54941548864963</v>
      </c>
      <c r="W1" s="186">
        <f ca="1">IF(COUNT(W12:W300)=0,"-",AVERAGE(W12:OFFSET(W12,$A$1-1,0)))</f>
        <v>809.85738929982642</v>
      </c>
      <c r="Y1" s="186">
        <f ca="1">IF(COUNT(Y12:Y300)=0,"-",AVERAGE(Y12:OFFSET(Y12,$A$1-1,0)))</f>
        <v>920.45695864709182</v>
      </c>
      <c r="AA1" s="186">
        <f ca="1">IF(COUNT(AA12:AA300)=0,"-",AVERAGE(AA12:OFFSET(AA12,$A$1-1,0)))</f>
        <v>435.1969021481068</v>
      </c>
      <c r="AC1" s="186">
        <f ca="1">IF(COUNT(AC12:AC300)=0,"-",AVERAGE(AC12:OFFSET(AC12,$A$1-1,0)))</f>
        <v>19541.526523267457</v>
      </c>
      <c r="AE1" s="186">
        <f ca="1">IF(COUNT(AE12:AE300)=0,"-",AVERAGE(AE12:OFFSET(AE12,$A$1-1,0)))</f>
        <v>245347.68660250856</v>
      </c>
      <c r="AG1" s="186">
        <f ca="1">IF(COUNT(AG12:AG300)=0,"-",AVERAGE(AG12:OFFSET(AG12,$A$1-1,0)))</f>
        <v>6038.2528543033241</v>
      </c>
      <c r="AI1" s="186" t="str">
        <f ca="1">IF(COUNT(AI12:AI300)=0,"-",AVERAGE(AI12:OFFSET(AI12,$A$1-1,0)))</f>
        <v>-</v>
      </c>
      <c r="AK1" s="186">
        <f ca="1">IF(COUNT(AK12:AK300)=0,"-",AVERAGE(AK12:OFFSET(AK12,$A$1-1,0)))</f>
        <v>4718.1426045123044</v>
      </c>
      <c r="AM1" s="186" t="str">
        <f ca="1">IF(COUNT(AM12:AM300)=0,"-",AVERAGE(AM12:OFFSET(AM12,$A$1-1,0)))</f>
        <v>-</v>
      </c>
      <c r="AO1" s="186">
        <f ca="1">IF(COUNT(AO12:AO300)=0,"-",AVERAGE(AO12:OFFSET(AO12,$A$1-1,0)))</f>
        <v>36588.663467166953</v>
      </c>
      <c r="AQ1" s="186">
        <f ca="1">IF(COUNT(AQ12:AQ300)=0,"-",AVERAGE(AQ12:OFFSET(AQ12,$A$1-1,0)))</f>
        <v>136816.55383723773</v>
      </c>
    </row>
    <row r="2" spans="1:43">
      <c r="C2" s="185" t="s">
        <v>183</v>
      </c>
      <c r="E2" s="186">
        <f ca="1">IF(COUNT(E12:E300)=0,"-",E1-(2*_xlfn.STDEV.P(E12:OFFSET(E12,$A$1-1,0))))</f>
        <v>-32131.759454061292</v>
      </c>
      <c r="G2" s="186">
        <f ca="1">IF(COUNT(G12:G300)=0,"-",G1-(2*_xlfn.STDEV.P(G12:OFFSET(G12,$A$1-1,0))))</f>
        <v>-1150385.4624360346</v>
      </c>
      <c r="I2" s="186">
        <f ca="1">IF(COUNT(I12:I300)=0,"-",I1-(2*_xlfn.STDEV.P(I12:OFFSET(I12,$A$1-1,0))))</f>
        <v>154.95867768595042</v>
      </c>
      <c r="K2" s="186">
        <f ca="1">IF(COUNT(K12:K300)=0,"-",K1-(2*_xlfn.STDEV.P(K12:OFFSET(K12,$A$1-1,0))))</f>
        <v>-1055031.2976355909</v>
      </c>
      <c r="M2" s="186" t="str">
        <f ca="1">IF(COUNT(M12:M300)=0,"-",M1-(2*_xlfn.STDEV.P(M12:OFFSET(M12,$A$1-1,0))))</f>
        <v>-</v>
      </c>
      <c r="O2" s="186">
        <f ca="1">IF(COUNT(O12:O300)=0,"-",O1-(2*_xlfn.STDEV.P(O12:OFFSET(O12,$A$1-1,0))))</f>
        <v>-572.72519818078354</v>
      </c>
      <c r="Q2" s="186">
        <f ca="1">IF(COUNT(Q12:Q300)=0,"-",Q1-(2*_xlfn.STDEV.P(Q12:OFFSET(Q12,$A$1-1,0))))</f>
        <v>-5348.7373752946751</v>
      </c>
      <c r="S2" s="186">
        <f ca="1">IF(COUNT(S12:S300)=0,"-",S1-(2*_xlfn.STDEV.P(S12:OFFSET(S12,$A$1-1,0))))</f>
        <v>-5901.8180402930411</v>
      </c>
      <c r="U2" s="186">
        <f ca="1">IF(COUNT(U12:U300)=0,"-",U1-(2*_xlfn.STDEV.P(U12:OFFSET(U12,$A$1-1,0))))</f>
        <v>-1001.5327131017268</v>
      </c>
      <c r="W2" s="186">
        <f ca="1">IF(COUNT(W12:W300)=0,"-",W1-(2*_xlfn.STDEV.P(W12:OFFSET(W12,$A$1-1,0))))</f>
        <v>-1481.8594184484336</v>
      </c>
      <c r="Y2" s="186">
        <f ca="1">IF(COUNT(Y12:Y300)=0,"-",Y1-(2*_xlfn.STDEV.P(Y12:OFFSET(Y12,$A$1-1,0))))</f>
        <v>-913.33271621020845</v>
      </c>
      <c r="AA2" s="186">
        <f ca="1">IF(COUNT(AA12:AA300)=0,"-",AA1-(2*_xlfn.STDEV.P(AA12:OFFSET(AA12,$A$1-1,0))))</f>
        <v>-1429.9695644171873</v>
      </c>
      <c r="AC2" s="186">
        <f ca="1">IF(COUNT(AC12:AC300)=0,"-",AC1-(2*_xlfn.STDEV.P(AC12:OFFSET(AC12,$A$1-1,0))))</f>
        <v>-48570.683546903674</v>
      </c>
      <c r="AE2" s="186">
        <f ca="1">IF(COUNT(AE12:AE300)=0,"-",AE1-(2*_xlfn.STDEV.P(AE12:OFFSET(AE12,$A$1-1,0))))</f>
        <v>-1624269.3895016951</v>
      </c>
      <c r="AG2" s="186">
        <f ca="1">IF(COUNT(AG12:AG300)=0,"-",AG1-(2*_xlfn.STDEV.P(AG12:OFFSET(AG12,$A$1-1,0))))</f>
        <v>-1971.652265069898</v>
      </c>
      <c r="AI2" s="186" t="str">
        <f ca="1">IF(COUNT(AI12:AI300)=0,"-",AI1-(2*_xlfn.STDEV.P(AI12:OFFSET(AI12,$A$1-1,0))))</f>
        <v>-</v>
      </c>
      <c r="AK2" s="186">
        <f ca="1">IF(COUNT(AK12:AK300)=0,"-",AK1-(2*_xlfn.STDEV.P(AK12:OFFSET(AK12,$A$1-1,0))))</f>
        <v>-36312.218571062622</v>
      </c>
      <c r="AM2" s="186" t="str">
        <f ca="1">IF(COUNT(AM12:AM300)=0,"-",AM1-(2*_xlfn.STDEV.P(AM12:OFFSET(AM12,$A$1-1,0))))</f>
        <v>-</v>
      </c>
      <c r="AO2" s="186">
        <f ca="1">IF(COUNT(AO12:AO300)=0,"-",AO1-(2*_xlfn.STDEV.P(AO12:OFFSET(AO12,$A$1-1,0))))</f>
        <v>-321423.7041144637</v>
      </c>
      <c r="AQ2" s="186">
        <f ca="1">IF(COUNT(AQ12:AQ300)=0,"-",AQ1-(2*_xlfn.STDEV.P(AQ12:OFFSET(AQ12,$A$1-1,0))))</f>
        <v>-983184.62118337315</v>
      </c>
    </row>
    <row r="3" spans="1:43">
      <c r="A3" s="1082" t="s">
        <v>184</v>
      </c>
      <c r="C3" s="185" t="s">
        <v>185</v>
      </c>
      <c r="E3" s="186">
        <f ca="1">IF(COUNT(E12:E300)=0,"-",E1+(2*_xlfn.STDEV.P(E12:OFFSET(E12,$A$1-1,0))))</f>
        <v>53078.349105064292</v>
      </c>
      <c r="G3" s="186">
        <f ca="1">IF(COUNT(G12:G300)=0,"-",G1+(2*_xlfn.STDEV.P(G12:OFFSET(G12,$A$1-1,0))))</f>
        <v>1624277.6264089488</v>
      </c>
      <c r="I3" s="186">
        <f ca="1">IF(COUNT(I12:I300)=0,"-",I1+(2*_xlfn.STDEV.P(I12:OFFSET(I12,$A$1-1,0))))</f>
        <v>154.95867768595042</v>
      </c>
      <c r="K3" s="186">
        <f ca="1">IF(COUNT(K12:K300)=0,"-",K1+(2*_xlfn.STDEV.P(K12:OFFSET(K12,$A$1-1,0))))</f>
        <v>1485763.9272482188</v>
      </c>
      <c r="M3" s="186" t="str">
        <f ca="1">IF(COUNT(M12:M300)=0,"-",M1+(2*_xlfn.STDEV.P(M12:OFFSET(M12,$A$1-1,0))))</f>
        <v>-</v>
      </c>
      <c r="O3" s="186">
        <f ca="1">IF(COUNT(O12:O300)=0,"-",O1+(2*_xlfn.STDEV.P(O12:OFFSET(O12,$A$1-1,0))))</f>
        <v>1127.6281964371124</v>
      </c>
      <c r="Q3" s="186">
        <f ca="1">IF(COUNT(Q12:Q300)=0,"-",Q1+(2*_xlfn.STDEV.P(Q12:OFFSET(Q12,$A$1-1,0))))</f>
        <v>8978.7962399608059</v>
      </c>
      <c r="S3" s="186">
        <f ca="1">IF(COUNT(S12:S300)=0,"-",S1+(2*_xlfn.STDEV.P(S12:OFFSET(S12,$A$1-1,0))))</f>
        <v>8180.1341916888705</v>
      </c>
      <c r="U3" s="186">
        <f ca="1">IF(COUNT(U12:U300)=0,"-",U1+(2*_xlfn.STDEV.P(U12:OFFSET(U12,$A$1-1,0))))</f>
        <v>1976.6315440790261</v>
      </c>
      <c r="W3" s="186">
        <f ca="1">IF(COUNT(W12:W300)=0,"-",W1+(2*_xlfn.STDEV.P(W12:OFFSET(W12,$A$1-1,0))))</f>
        <v>3101.5741970480867</v>
      </c>
      <c r="Y3" s="186">
        <f ca="1">IF(COUNT(Y12:Y300)=0,"-",Y1+(2*_xlfn.STDEV.P(Y12:OFFSET(Y12,$A$1-1,0))))</f>
        <v>2754.2466335043919</v>
      </c>
      <c r="AA3" s="186">
        <f ca="1">IF(COUNT(AA12:AA300)=0,"-",AA1+(2*_xlfn.STDEV.P(AA12:OFFSET(AA12,$A$1-1,0))))</f>
        <v>2300.3633687134006</v>
      </c>
      <c r="AC3" s="186">
        <f ca="1">IF(COUNT(AC12:AC300)=0,"-",AC1+(2*_xlfn.STDEV.P(AC12:OFFSET(AC12,$A$1-1,0))))</f>
        <v>87653.736593438589</v>
      </c>
      <c r="AE3" s="186">
        <f ca="1">IF(COUNT(AE12:AE300)=0,"-",AE1+(2*_xlfn.STDEV.P(AE12:OFFSET(AE12,$A$1-1,0))))</f>
        <v>2114964.7627067124</v>
      </c>
      <c r="AG3" s="186">
        <f ca="1">IF(COUNT(AG12:AG300)=0,"-",AG1+(2*_xlfn.STDEV.P(AG12:OFFSET(AG12,$A$1-1,0))))</f>
        <v>14048.157973676545</v>
      </c>
      <c r="AI3" s="186" t="str">
        <f ca="1">IF(COUNT(AI12:AI300)=0,"-",AI1+(2*_xlfn.STDEV.P(AI12:OFFSET(AI12,$A$1-1,0))))</f>
        <v>-</v>
      </c>
      <c r="AK3" s="186">
        <f ca="1">IF(COUNT(AK12:AK300)=0,"-",AK1+(2*_xlfn.STDEV.P(AK12:OFFSET(AK12,$A$1-1,0))))</f>
        <v>45748.503780087238</v>
      </c>
      <c r="AM3" s="186" t="str">
        <f ca="1">IF(COUNT(AM12:AM300)=0,"-",AM1+(2*_xlfn.STDEV.P(AM12:OFFSET(AM12,$A$1-1,0))))</f>
        <v>-</v>
      </c>
      <c r="AO3" s="186">
        <f ca="1">IF(COUNT(AO12:AO300)=0,"-",AO1+(2*_xlfn.STDEV.P(AO12:OFFSET(AO12,$A$1-1,0))))</f>
        <v>394601.03104879759</v>
      </c>
      <c r="AQ3" s="186">
        <f ca="1">IF(COUNT(AQ12:AQ300)=0,"-",AQ1+(2*_xlfn.STDEV.P(AQ12:OFFSET(AQ12,$A$1-1,0))))</f>
        <v>1256817.7288578486</v>
      </c>
    </row>
    <row r="4" spans="1:43">
      <c r="A4" s="1082"/>
      <c r="C4" s="185" t="s">
        <v>186</v>
      </c>
      <c r="E4" s="187">
        <f ca="1">IF(COUNT(E12:E300)=0,"-",AVERAGEIFS(E12:E300, E12:E300, "&gt;="&amp;E2,E12:E300,"&lt;="&amp;E3))</f>
        <v>5913.1969577327645</v>
      </c>
      <c r="G4" s="187">
        <f ca="1">IF(COUNT(G12:G300)=0,"-",AVERAGEIFS(G12:G300, G12:G300, "&gt;="&amp;G2,G12:G300,"&lt;="&amp;G3))</f>
        <v>74529.581082936318</v>
      </c>
      <c r="I4" s="187">
        <f ca="1">IF(COUNT(I12:I300)=0,"-",AVERAGEIFS(I12:I300, I12:I300, "&gt;="&amp;I2,I12:I300,"&lt;="&amp;I3))</f>
        <v>154.95867768595042</v>
      </c>
      <c r="K4" s="187">
        <f ca="1">IF(COUNT(K12:K300)=0,"-",AVERAGEIFS(K12:K300, K12:K300, "&gt;="&amp;K2,K12:K300,"&lt;="&amp;K3))</f>
        <v>82488.520273281247</v>
      </c>
      <c r="M4" s="187" t="str">
        <f>IF(COUNT(M12:M300)=0,"-",AVERAGEIFS(M12:M300, M12:M300, "&gt;="&amp;M2,M12:M300,"&lt;="&amp;M3))</f>
        <v>-</v>
      </c>
      <c r="O4" s="187">
        <f ca="1">IF(COUNT(O12:O300)=0,"-",AVERAGEIFS(O12:O300, O12:O300, "&gt;="&amp;O2,O12:O300,"&lt;="&amp;O3))</f>
        <v>211.97591728199922</v>
      </c>
      <c r="Q4" s="187">
        <f ca="1">IF(COUNT(Q12:Q300)=0,"-",AVERAGEIFS(Q12:Q300, Q12:Q300, "&gt;="&amp;Q2,Q12:Q300,"&lt;="&amp;Q3))</f>
        <v>1556.5264350867783</v>
      </c>
      <c r="S4" s="187">
        <f ca="1">IF(COUNT(S12:S300)=0,"-",AVERAGEIFS(S12:S300, S12:S300, "&gt;="&amp;S2,S12:S300,"&lt;="&amp;S3))</f>
        <v>460.69553906309051</v>
      </c>
      <c r="U4" s="187">
        <f ca="1">IF(COUNT(U12:U300)=0,"-",AVERAGEIFS(U12:U300, U12:U300, "&gt;="&amp;U2,U12:U300,"&lt;="&amp;U3))</f>
        <v>297.09100345471313</v>
      </c>
      <c r="W4" s="187">
        <f ca="1">IF(COUNT(W12:W300)=0,"-",AVERAGEIFS(W12:W300, W12:W300, "&gt;="&amp;W2,W12:W300,"&lt;="&amp;W3))</f>
        <v>612.99825769564507</v>
      </c>
      <c r="Y4" s="187">
        <f ca="1">IF(COUNT(Y12:Y300)=0,"-",AVERAGEIFS(Y12:Y300, Y12:Y300, "&gt;="&amp;Y2,Y12:Y300,"&lt;="&amp;Y3))</f>
        <v>920.45695864709182</v>
      </c>
      <c r="AA4" s="187">
        <f ca="1">IF(COUNT(AA12:AA300)=0,"-",AVERAGEIFS(AA12:AA300, AA12:AA300, "&gt;="&amp;AA2,AA12:AA300,"&lt;="&amp;AA3))</f>
        <v>244.23477786558252</v>
      </c>
      <c r="AC4" s="187">
        <f ca="1">IF(COUNT(AC12:AC300)=0,"-",AVERAGEIFS(AC12:AC300, AC12:AC300, "&gt;="&amp;AC2,AC12:AC300,"&lt;="&amp;AC3))</f>
        <v>9484.2173386758859</v>
      </c>
      <c r="AE4" s="187">
        <f ca="1">IF(COUNT(AE12:AE300)=0,"-",AVERAGEIFS(AE12:AE300, AE12:AE300, "&gt;="&amp;AE2,AE12:AE300,"&lt;="&amp;AE3))</f>
        <v>59110.5331363769</v>
      </c>
      <c r="AG4" s="187">
        <f ca="1">IF(COUNT(AG12:AG300)=0,"-",AVERAGEIFS(AG12:AG300, AG12:AG300, "&gt;="&amp;AG2,AG12:AG300,"&lt;="&amp;AG3))</f>
        <v>6038.2528543033241</v>
      </c>
      <c r="AI4" s="187" t="str">
        <f>IF(COUNT(AI12:AI300)=0,"-",AVERAGEIFS(AI12:AI300, AI12:AI300, "&gt;="&amp;AI2,AI12:AI300,"&lt;="&amp;AI3))</f>
        <v>-</v>
      </c>
      <c r="AK4" s="187">
        <f ca="1">IF(COUNT(AK12:AK300)=0,"-",AVERAGEIFS(AK12:AK300, AK12:AK300, "&gt;="&amp;AK2,AK12:AK300,"&lt;="&amp;AK3))</f>
        <v>2138.4449812541779</v>
      </c>
      <c r="AM4" s="187" t="str">
        <f>IF(COUNT(AM12:AM300)=0,"-",AVERAGEIFS(AM12:AM300, AM12:AM300, "&gt;="&amp;AM2,AM12:AM300,"&lt;="&amp;AM3))</f>
        <v>-</v>
      </c>
      <c r="AO4" s="187">
        <f ca="1">IF(COUNT(AO12:AO300)=0,"-",AVERAGEIFS(AO12:AO300, AO12:AO300, "&gt;="&amp;AO2,AO12:AO300,"&lt;="&amp;AO3))</f>
        <v>3632.358700065723</v>
      </c>
      <c r="AQ4" s="187">
        <f ca="1">IF(COUNT(AQ12:AQ300)=0,"-",AVERAGEIFS(AQ12:AQ300, AQ12:AQ300, "&gt;="&amp;AQ2,AQ12:AQ300,"&lt;="&amp;AQ3))</f>
        <v>46285.106548611999</v>
      </c>
    </row>
    <row r="5" spans="1:43">
      <c r="A5" s="1082"/>
      <c r="C5" s="185" t="s">
        <v>187</v>
      </c>
      <c r="E5" s="188">
        <f ca="1">IF(COUNT(E12:E300)=0,"-",SUMIFS(D12:D300,E12:E300,"&gt;="&amp;E2,E12:E300,"&lt;="&amp;E3)/SUMIFS($B12:$B300,E12:E300,"&gt;="&amp;E2,E12:E300,"&lt;="&amp;E3))</f>
        <v>5963.9694954316819</v>
      </c>
      <c r="G5" s="188">
        <f ca="1">IF(COUNT(G12:G300)=0,"-",SUMIFS(F12:F300,G12:G300,"&gt;="&amp;G2,G12:G300,"&lt;="&amp;G3)/SUMIFS($B12:$B300,G12:G300,"&gt;="&amp;G2,G12:G300,"&lt;="&amp;G3))</f>
        <v>4467.7265049772932</v>
      </c>
      <c r="I5" s="188">
        <f ca="1">IF(COUNT(I12:I300)=0,"-",SUMIFS(H12:H300,I12:I300,"&gt;="&amp;I2,I12:I300,"&lt;="&amp;I3)/SUMIFS($B12:$B300,I12:I300,"&gt;="&amp;I2,I12:I300,"&lt;="&amp;I3))</f>
        <v>154.95867768595042</v>
      </c>
      <c r="K5" s="188">
        <f ca="1">IF(COUNT(K12:K300)=0,"-",SUMIFS(J12:J300,K12:K300,"&gt;="&amp;K2,K12:K300,"&lt;="&amp;K3)/SUMIFS($B12:$B300,K12:K300,"&gt;="&amp;K2,K12:K300,"&lt;="&amp;K3))</f>
        <v>19030.16756708255</v>
      </c>
      <c r="M5" s="188" t="str">
        <f>IF(COUNT(M12:M300)=0,"-",SUMIFS(L12:L300,M12:M300,"&gt;="&amp;M2,M12:M300,"&lt;="&amp;M3)/SUMIFS($B12:$B300,M12:M300,"&gt;="&amp;M2,M12:M300,"&lt;="&amp;M3))</f>
        <v>-</v>
      </c>
      <c r="O5" s="188">
        <f ca="1">IF(COUNT(O12:O300)=0,"-",SUMIFS(N12:N300,O12:O300,"&gt;="&amp;O2,O12:O300,"&lt;="&amp;O3)/SUMIFS($B12:$B300,O12:O300,"&gt;="&amp;O2,O12:O300,"&lt;="&amp;O3))</f>
        <v>159.61973086509079</v>
      </c>
      <c r="Q5" s="188">
        <f ca="1">IF(COUNT(Q12:Q300)=0,"-",SUMIFS(P12:P300,Q12:Q300,"&gt;="&amp;Q2,Q12:Q300,"&lt;="&amp;Q3)/SUMIFS($B12:$B300,Q12:Q300,"&gt;="&amp;Q2,Q12:Q300,"&lt;="&amp;Q3))</f>
        <v>1056.8783932396871</v>
      </c>
      <c r="S5" s="188">
        <f ca="1">IF(COUNT(S12:S300)=0,"-",SUMIFS(R12:R300,S12:S300,"&gt;="&amp;S2,S12:S300,"&lt;="&amp;S3)/SUMIFS($B12:$B300,S12:S300,"&gt;="&amp;S2,S12:S300,"&lt;="&amp;S3))</f>
        <v>659.46971027355744</v>
      </c>
      <c r="U5" s="188">
        <f ca="1">IF(COUNT(U12:U300)=0,"-",SUMIFS(T12:T300,U12:U300,"&gt;="&amp;U2,U12:U300,"&lt;="&amp;U3)/SUMIFS($B12:$B300,U12:U300,"&gt;="&amp;U2,U12:U300,"&lt;="&amp;U3))</f>
        <v>474.11060420697481</v>
      </c>
      <c r="W5" s="188">
        <f ca="1">IF(COUNT(W12:W300)=0,"-",SUMIFS(V12:V300,W12:W300,"&gt;="&amp;W2,W12:W300,"&lt;="&amp;W3)/SUMIFS($B12:$B300,W12:W300,"&gt;="&amp;W2,W12:W300,"&lt;="&amp;W3))</f>
        <v>794.38064007837045</v>
      </c>
      <c r="Y5" s="188">
        <f ca="1">IF(COUNT(Y12:Y300)=0,"-",SUMIFS(X12:X300,Y12:Y300,"&gt;="&amp;Y2,Y12:Y300,"&lt;="&amp;Y3)/SUMIFS($B12:$B300,Y12:Y300,"&gt;="&amp;Y2,Y12:Y300,"&lt;="&amp;Y3))</f>
        <v>1160.45426260112</v>
      </c>
      <c r="AA5" s="188">
        <f ca="1">IF(COUNT(AA12:AA300)=0,"-",SUMIFS(Z12:Z300,AA12:AA300,"&gt;="&amp;AA2,AA12:AA300,"&lt;="&amp;AA3)/SUMIFS($B12:$B300,AA12:AA300,"&gt;="&amp;AA2,AA12:AA300,"&lt;="&amp;AA3))</f>
        <v>360.01736555263551</v>
      </c>
      <c r="AC5" s="188">
        <f ca="1">IF(COUNT(AC12:AC300)=0,"-",SUMIFS(AB12:AB300,AC12:AC300,"&gt;="&amp;AC2,AC12:AC300,"&lt;="&amp;AC3)/SUMIFS($B12:$B300,AC12:AC300,"&gt;="&amp;AC2,AC12:AC300,"&lt;="&amp;AC3))</f>
        <v>1733.9343036087084</v>
      </c>
      <c r="AE5" s="188">
        <f ca="1">IF(COUNT(AE12:AE300)=0,"-",SUMIFS(AD12:AD300,AE12:AE300,"&gt;="&amp;AE2,AE12:AE300,"&lt;="&amp;AE3)/SUMIFS($B12:$B300,AE12:AE300,"&gt;="&amp;AE2,AE12:AE300,"&lt;="&amp;AE3))</f>
        <v>1953.5170393964802</v>
      </c>
      <c r="AG5" s="188">
        <f ca="1">IF(COUNT(AG12:AG300)=0,"-",SUMIFS(AF12:AF300,AG12:AG300,"&gt;="&amp;AG2,AG12:AG300,"&lt;="&amp;AG3)/SUMIFS($B12:$B300,AG12:AG300,"&gt;="&amp;AG2,AG12:AG300,"&lt;="&amp;AG3))</f>
        <v>8800.0556870388427</v>
      </c>
      <c r="AI5" s="188" t="str">
        <f>IF(COUNT(AI12:AI300)=0,"-",SUMIFS(AH12:AH300,AI12:AI300,"&gt;="&amp;AI2,AI12:AI300,"&lt;="&amp;AI3)/SUMIFS($B12:$B300,AI12:AI300,"&gt;="&amp;AI2,AI12:AI300,"&lt;="&amp;AI3))</f>
        <v>-</v>
      </c>
      <c r="AK5" s="188">
        <f ca="1">IF(COUNT(AK12:AK300)=0,"-",SUMIFS(AJ12:AJ300,AK12:AK300,"&gt;="&amp;AK2,AK12:AK300,"&lt;="&amp;AK3)/SUMIFS($B12:$B300,AK12:AK300,"&gt;="&amp;AK2,AK12:AK300,"&lt;="&amp;AK3))</f>
        <v>1347.3502436316674</v>
      </c>
      <c r="AM5" s="188" t="str">
        <f>IF(COUNT(AM12:AM300)=0,"-",SUMIFS(AL12:AL300,AM12:AM300,"&gt;="&amp;AM2,AM12:AM300,"&lt;="&amp;AM3)/SUMIFS($B12:$B300,AM12:AM300,"&gt;="&amp;AM2,AM12:AM300,"&lt;="&amp;AM3))</f>
        <v>-</v>
      </c>
      <c r="AO5" s="188">
        <f ca="1">IF(COUNT(AO12:AO300)=0,"-",SUMIFS(AN12:AN300,AO12:AO300,"&gt;="&amp;AO2,AO12:AO300,"&lt;="&amp;AO3)/SUMIFS($B12:$B300,AO12:AO300,"&gt;="&amp;AO2,AO12:AO300,"&lt;="&amp;AO3))</f>
        <v>2996.7173855870574</v>
      </c>
      <c r="AQ5" s="188">
        <f ca="1">IF(COUNT(AQ12:AQ300)=0,"-",SUMIFS(AP12:AP300,AQ12:AQ300,"&gt;="&amp;AQ2,AQ12:AQ300,"&lt;="&amp;AQ3)/SUMIFS($B12:$B300,AQ12:AQ300,"&gt;="&amp;AQ2,AQ12:AQ300,"&lt;="&amp;AQ3))</f>
        <v>12619.980532849366</v>
      </c>
    </row>
    <row r="6" spans="1:43">
      <c r="A6" s="1082"/>
      <c r="C6" s="185" t="s">
        <v>188</v>
      </c>
      <c r="E6" s="189">
        <f ca="1">IF(COUNT(E12:E300)=0,"-",SUMIFS(E12:E300, E12:E300, "&gt;="&amp;E2,E12:E300,"&lt;="&amp;E3)/($A$1-COUNTIF(E12:E300,"&lt;"&amp;E$2)-COUNTIF(E12:E300,"&gt;"&amp;E$3)))</f>
        <v>2782.6809212860067</v>
      </c>
      <c r="G6" s="189">
        <f ca="1">IF(COUNT(G12:G300)=0,"-",SUMIFS(G12:G300, G12:G300, "&gt;="&amp;G2,G12:G300,"&lt;="&amp;G3)/($A$1-COUNTIF(G12:G300,"&lt;"&amp;G$2)-COUNTIF(G12:G300,"&gt;"&amp;G$3)))</f>
        <v>12661.396014089569</v>
      </c>
      <c r="I6" s="189">
        <f ca="1">IF(COUNT(I12:I300)=0,"-",SUMIFS(I12:I300, I12:I300, "&gt;="&amp;I2,I12:I300,"&lt;="&amp;I3)/($A$1-COUNTIF(I12:I300,"&lt;"&amp;I$2)-COUNTIF(I12:I300,"&gt;"&amp;I$3)))</f>
        <v>0.59144533467920013</v>
      </c>
      <c r="K6" s="189">
        <f ca="1">IF(COUNT(K12:K300)=0,"-",SUMIFS(K12:K300, K12:K300, "&gt;="&amp;K2,K12:K300,"&lt;="&amp;K3)/($A$1-COUNTIF(K12:K300,"&lt;"&amp;K$2)-COUNTIF(K12:K300,"&gt;"&amp;K$3)))</f>
        <v>6637.0073783099861</v>
      </c>
      <c r="M6" s="189" t="str">
        <f>IF(COUNT(M12:M300)=0,"-",SUMIFS(M12:M300, M12:M300, "&gt;="&amp;M2,M12:M300,"&lt;="&amp;M3)/($A$1-COUNTIF(M12:M300,"&lt;"&amp;M$2)-COUNTIF(M12:M300,"&gt;"&amp;M$3)))</f>
        <v>-</v>
      </c>
      <c r="O6" s="189">
        <f ca="1">IF(COUNT(O12:O300)=0,"-",SUMIFS(O12:O300, O12:O300, "&gt;="&amp;O2,O12:O300,"&lt;="&amp;O3)/($A$1-COUNTIF(O12:O300,"&lt;"&amp;O$2)-COUNTIF(O12:O300,"&gt;"&amp;O$3)))</f>
        <v>82.982820331325286</v>
      </c>
      <c r="Q6" s="189">
        <f ca="1">IF(COUNT(Q12:Q300)=0,"-",SUMIFS(Q12:Q300, Q12:Q300, "&gt;="&amp;Q2,Q12:Q300,"&lt;="&amp;Q3)/($A$1-COUNTIF(Q12:Q300,"&lt;"&amp;Q$2)-COUNTIF(Q12:Q300,"&gt;"&amp;Q$3)))</f>
        <v>936.30134217863679</v>
      </c>
      <c r="S6" s="189">
        <f ca="1">IF(COUNT(S12:S300)=0,"-",SUMIFS(S12:S300, S12:S300, "&gt;="&amp;S2,S12:S300,"&lt;="&amp;S3)/($A$1-COUNTIF(S12:S300,"&lt;"&amp;S$2)-COUNTIF(S12:S300,"&gt;"&amp;S$3)))</f>
        <v>112.0610770694004</v>
      </c>
      <c r="U6" s="189">
        <f ca="1">IF(COUNT(U12:U300)=0,"-",SUMIFS(U12:U300, U12:U300, "&gt;="&amp;U2,U12:U300,"&lt;="&amp;U3)/($A$1-COUNTIF(U12:U300,"&lt;"&amp;U$2)-COUNTIF(U12:U300,"&gt;"&amp;U$3)))</f>
        <v>14.797636187399503</v>
      </c>
      <c r="W6" s="189">
        <f ca="1">IF(COUNT(W12:W300)=0,"-",SUMIFS(W12:W300, W12:W300, "&gt;="&amp;W2,W12:W300,"&lt;="&amp;W3)/($A$1-COUNTIF(W12:W300,"&lt;"&amp;W$2)-COUNTIF(W12:W300,"&gt;"&amp;W$3)))</f>
        <v>96.665109867390186</v>
      </c>
      <c r="Y6" s="189">
        <f ca="1">IF(COUNT(Y12:Y300)=0,"-",SUMIFS(Y12:Y300, Y12:Y300, "&gt;="&amp;Y2,Y12:Y300,"&lt;="&amp;Y3)/($A$1-COUNTIF(Y12:Y300,"&lt;"&amp;Y$2)-COUNTIF(Y12:Y300,"&gt;"&amp;Y$3)))</f>
        <v>31.6187504878772</v>
      </c>
      <c r="AA6" s="189">
        <f ca="1">IF(COUNT(AA12:AA300)=0,"-",SUMIFS(AA12:AA300, AA12:AA300, "&gt;="&amp;AA2,AA12:AA300,"&lt;="&amp;AA3)/($A$1-COUNTIF(AA12:AA300,"&lt;"&amp;AA$2)-COUNTIF(AA12:AA300,"&gt;"&amp;AA$3)))</f>
        <v>20.586839513574006</v>
      </c>
      <c r="AC6" s="189">
        <f ca="1">IF(COUNT(AC12:AC300)=0,"-",SUMIFS(AC12:AC300, AC12:AC300, "&gt;="&amp;AC2,AC12:AC300,"&lt;="&amp;AC3)/($A$1-COUNTIF(AC12:AC300,"&lt;"&amp;AC$2)-COUNTIF(AC12:AC300,"&gt;"&amp;AC$3)))</f>
        <v>290.70397972952907</v>
      </c>
      <c r="AE6" s="189">
        <f ca="1">IF(COUNT(AE12:AE300)=0,"-",SUMIFS(AE12:AE300, AE12:AE300, "&gt;="&amp;AE2,AE12:AE300,"&lt;="&amp;AE3)/($A$1-COUNTIF(AE12:AE300,"&lt;"&amp;AE$2)-COUNTIF(AE12:AE300,"&gt;"&amp;AE$3)))</f>
        <v>5435.451322885232</v>
      </c>
      <c r="AG6" s="189">
        <f ca="1">IF(COUNT(AG12:AG300)=0,"-",SUMIFS(AG12:AG300, AG12:AG300, "&gt;="&amp;AG2,AG12:AG300,"&lt;="&amp;AG3)/($A$1-COUNTIF(AG12:AG300,"&lt;"&amp;AG$2)-COUNTIF(AG12:AG300,"&gt;"&amp;AG$3)))</f>
        <v>92.187066477913348</v>
      </c>
      <c r="AI6" s="189" t="str">
        <f>IF(COUNT(AI12:AI300)=0,"-",SUMIFS(AI12:AI300, AI12:AI300, "&gt;="&amp;AI2,AI12:AI300,"&lt;="&amp;AI3)/($A$1-COUNTIF(AI12:AI300,"&lt;"&amp;AI$2)-COUNTIF(AI12:AI300,"&gt;"&amp;AI$3)))</f>
        <v>-</v>
      </c>
      <c r="AK6" s="189">
        <f ca="1">IF(COUNT(AK12:AK300)=0,"-",SUMIFS(AK12:AK300, AK12:AK300, "&gt;="&amp;AK2,AK12:AK300,"&lt;="&amp;AK3)/($A$1-COUNTIF(AK12:AK300,"&lt;"&amp;AK$2)-COUNTIF(AK12:AK300,"&gt;"&amp;AK$3)))</f>
        <v>986.97460673269745</v>
      </c>
      <c r="AM6" s="189" t="str">
        <f>IF(COUNT(AM12:AM300)=0,"-",SUMIFS(AM12:AM300, AM12:AM300, "&gt;="&amp;AM2,AM12:AM300,"&lt;="&amp;AM3)/($A$1-COUNTIF(AM12:AM300,"&lt;"&amp;AM$2)-COUNTIF(AM12:AM300,"&gt;"&amp;AM$3)))</f>
        <v>-</v>
      </c>
      <c r="AO6" s="189">
        <f ca="1">IF(COUNT(AO12:AO300)=0,"-",SUMIFS(AO12:AO300, AO12:AO300, "&gt;="&amp;AO2,AO12:AO300,"&lt;="&amp;AO3)/($A$1-COUNTIF(AO12:AO300,"&lt;"&amp;AO$2)-COUNTIF(AO12:AO300,"&gt;"&amp;AO$3)))</f>
        <v>712.50112962827643</v>
      </c>
      <c r="AQ6" s="189">
        <f ca="1">IF(COUNT(AQ12:AQ300)=0,"-",SUMIFS(AQ12:AQ300, AQ12:AQ300, "&gt;="&amp;AQ2,AQ12:AQ300,"&lt;="&amp;AQ3)/($A$1-COUNTIF(AQ12:AQ300,"&lt;"&amp;AQ$2)-COUNTIF(AQ12:AQ300,"&gt;"&amp;AQ$3)))</f>
        <v>32182.613147081782</v>
      </c>
    </row>
    <row r="9" spans="1:43">
      <c r="D9" s="190" t="s">
        <v>189</v>
      </c>
      <c r="E9" s="191"/>
      <c r="F9" s="190" t="s">
        <v>190</v>
      </c>
      <c r="G9" s="191"/>
      <c r="H9" s="190" t="s">
        <v>191</v>
      </c>
      <c r="I9" s="191"/>
      <c r="J9" s="190" t="s">
        <v>192</v>
      </c>
      <c r="K9" s="191"/>
      <c r="L9" s="190" t="s">
        <v>193</v>
      </c>
      <c r="M9" s="191"/>
      <c r="N9" s="190" t="s">
        <v>194</v>
      </c>
      <c r="O9" s="191"/>
      <c r="P9" s="190" t="s">
        <v>195</v>
      </c>
      <c r="Q9" s="191"/>
      <c r="R9" s="190" t="s">
        <v>196</v>
      </c>
      <c r="S9" s="191"/>
      <c r="T9" s="190" t="s">
        <v>197</v>
      </c>
      <c r="U9" s="191"/>
      <c r="V9" s="190" t="s">
        <v>198</v>
      </c>
      <c r="W9" s="191"/>
      <c r="X9" s="190" t="s">
        <v>199</v>
      </c>
      <c r="Y9" s="191"/>
      <c r="Z9" s="190" t="s">
        <v>200</v>
      </c>
      <c r="AA9" s="191"/>
      <c r="AB9" s="190" t="s">
        <v>201</v>
      </c>
      <c r="AC9" s="191"/>
      <c r="AD9" s="190" t="s">
        <v>202</v>
      </c>
      <c r="AE9" s="191"/>
      <c r="AF9" s="190" t="s">
        <v>203</v>
      </c>
      <c r="AG9" s="191"/>
      <c r="AH9" s="190" t="s">
        <v>204</v>
      </c>
      <c r="AI9" s="191"/>
      <c r="AJ9" s="190" t="s">
        <v>205</v>
      </c>
      <c r="AK9" s="191"/>
      <c r="AL9" s="190" t="s">
        <v>206</v>
      </c>
      <c r="AM9" s="191"/>
      <c r="AN9" s="190" t="s">
        <v>207</v>
      </c>
      <c r="AO9" s="191"/>
      <c r="AP9" s="190" t="s">
        <v>208</v>
      </c>
      <c r="AQ9" s="191"/>
    </row>
    <row r="10" spans="1:43" ht="75">
      <c r="A10" s="192"/>
      <c r="B10" s="193"/>
      <c r="D10" s="194" t="s">
        <v>209</v>
      </c>
      <c r="E10" s="195" t="str">
        <f>D10&amp;"
per FTE"</f>
        <v>Total Occupancy
per FTE</v>
      </c>
      <c r="F10" s="194" t="s">
        <v>210</v>
      </c>
      <c r="G10" s="195" t="str">
        <f>F10&amp;"
per FTE"</f>
        <v>Direct Care Consultant 201
per FTE</v>
      </c>
      <c r="H10" s="194" t="s">
        <v>211</v>
      </c>
      <c r="I10" s="195" t="str">
        <f>H10&amp;"
per FTE"</f>
        <v>Temporary Help 202
per FTE</v>
      </c>
      <c r="J10" s="194" t="s">
        <v>212</v>
      </c>
      <c r="K10" s="195" t="str">
        <f>J10&amp;"
per FTE"</f>
        <v>Clients and Caregivers Reimb./Stipends 203
per FTE</v>
      </c>
      <c r="L10" s="194" t="s">
        <v>213</v>
      </c>
      <c r="M10" s="195" t="str">
        <f>L10&amp;"
per FTE"</f>
        <v>Subcontracted Direct Care 206
per FTE</v>
      </c>
      <c r="N10" s="194" t="s">
        <v>214</v>
      </c>
      <c r="O10" s="195" t="str">
        <f>N10&amp;"
per FTE"</f>
        <v>Staff Training 204
per FTE</v>
      </c>
      <c r="P10" s="194" t="s">
        <v>215</v>
      </c>
      <c r="Q10" s="195" t="str">
        <f>P10&amp;"
per FTE"</f>
        <v>Staff Mileage / Travel 205
per FTE</v>
      </c>
      <c r="R10" s="194" t="s">
        <v>216</v>
      </c>
      <c r="S10" s="195" t="str">
        <f>R10&amp;"
per FTE"</f>
        <v>Meals 207
per FTE</v>
      </c>
      <c r="T10" s="194" t="s">
        <v>217</v>
      </c>
      <c r="U10" s="195" t="str">
        <f>T10&amp;"
per FTE"</f>
        <v>Client Transportation 208
per FTE</v>
      </c>
      <c r="V10" s="194" t="s">
        <v>218</v>
      </c>
      <c r="W10" s="195" t="str">
        <f>V10&amp;"
per FTE"</f>
        <v>Vehicle Expenses 208
per FTE</v>
      </c>
      <c r="X10" s="194" t="s">
        <v>219</v>
      </c>
      <c r="Y10" s="195" t="str">
        <f>X10&amp;"
per FTE"</f>
        <v>Vehicle Depreciation 208
per FTE</v>
      </c>
      <c r="Z10" s="194" t="s">
        <v>220</v>
      </c>
      <c r="AA10" s="195" t="str">
        <f>Z10&amp;"
per FTE"</f>
        <v>Incidental Medical /Medicine/Pharmacy 209
per FTE</v>
      </c>
      <c r="AB10" s="194" t="s">
        <v>221</v>
      </c>
      <c r="AC10" s="195" t="str">
        <f>AB10&amp;"
per FTE"</f>
        <v>Client Personal Allowances 211
per FTE</v>
      </c>
      <c r="AD10" s="194" t="s">
        <v>222</v>
      </c>
      <c r="AE10" s="195" t="str">
        <f>AD10&amp;"
per FTE"</f>
        <v>Provision Material Goods/Svs./Benefits 212
per FTE</v>
      </c>
      <c r="AF10" s="194" t="s">
        <v>223</v>
      </c>
      <c r="AG10" s="195" t="str">
        <f>AF10&amp;"
per FTE"</f>
        <v>Direct Client Wages 214
per FTE</v>
      </c>
      <c r="AH10" s="194" t="s">
        <v>224</v>
      </c>
      <c r="AI10" s="195" t="str">
        <f>AH10&amp;"
per FTE"</f>
        <v>Other Commercial Prod. &amp; Svs. 214
per FTE</v>
      </c>
      <c r="AJ10" s="194" t="s">
        <v>225</v>
      </c>
      <c r="AK10" s="195" t="str">
        <f>AJ10&amp;"
per FTE"</f>
        <v>Program Supplies &amp; Materials 215
per FTE</v>
      </c>
      <c r="AL10" s="194" t="s">
        <v>226</v>
      </c>
      <c r="AM10" s="195" t="str">
        <f>AL10&amp;"
per FTE"</f>
        <v>Non Charitable Expenses
per FTE</v>
      </c>
      <c r="AN10" s="194" t="s">
        <v>227</v>
      </c>
      <c r="AO10" s="195" t="str">
        <f>AN10&amp;"
per FTE"</f>
        <v>Other Expense
per FTE</v>
      </c>
      <c r="AP10" s="194" t="s">
        <v>228</v>
      </c>
      <c r="AQ10" s="195" t="str">
        <f>AP10&amp;"
per FTE"</f>
        <v>Total Other Program Expense
per FTE</v>
      </c>
    </row>
    <row r="11" spans="1:43">
      <c r="A11" s="190" t="s">
        <v>229</v>
      </c>
      <c r="B11" s="196" t="s">
        <v>230</v>
      </c>
      <c r="D11" s="190" t="s">
        <v>231</v>
      </c>
      <c r="E11" s="191"/>
      <c r="F11" s="190" t="s">
        <v>231</v>
      </c>
      <c r="G11" s="191"/>
      <c r="H11" s="190" t="s">
        <v>231</v>
      </c>
      <c r="I11" s="191"/>
      <c r="J11" s="190" t="s">
        <v>231</v>
      </c>
      <c r="K11" s="191"/>
      <c r="L11" s="190" t="s">
        <v>231</v>
      </c>
      <c r="M11" s="191"/>
      <c r="N11" s="190" t="s">
        <v>231</v>
      </c>
      <c r="O11" s="191"/>
      <c r="P11" s="190" t="s">
        <v>231</v>
      </c>
      <c r="Q11" s="191"/>
      <c r="R11" s="190" t="s">
        <v>231</v>
      </c>
      <c r="S11" s="191"/>
      <c r="T11" s="190" t="s">
        <v>231</v>
      </c>
      <c r="U11" s="191"/>
      <c r="V11" s="190" t="s">
        <v>231</v>
      </c>
      <c r="W11" s="191"/>
      <c r="X11" s="190" t="s">
        <v>231</v>
      </c>
      <c r="Y11" s="191"/>
      <c r="Z11" s="190" t="s">
        <v>231</v>
      </c>
      <c r="AA11" s="191"/>
      <c r="AB11" s="190" t="s">
        <v>231</v>
      </c>
      <c r="AC11" s="191"/>
      <c r="AD11" s="190" t="s">
        <v>231</v>
      </c>
      <c r="AE11" s="191"/>
      <c r="AF11" s="190" t="s">
        <v>231</v>
      </c>
      <c r="AG11" s="191"/>
      <c r="AH11" s="190" t="s">
        <v>231</v>
      </c>
      <c r="AI11" s="191"/>
      <c r="AJ11" s="190" t="s">
        <v>231</v>
      </c>
      <c r="AK11" s="191"/>
      <c r="AL11" s="190" t="s">
        <v>231</v>
      </c>
      <c r="AM11" s="191"/>
      <c r="AN11" s="190" t="s">
        <v>231</v>
      </c>
      <c r="AO11" s="191"/>
      <c r="AP11" s="190" t="s">
        <v>231</v>
      </c>
      <c r="AQ11" s="191"/>
    </row>
    <row r="12" spans="1:43">
      <c r="A12" s="190" t="s">
        <v>232</v>
      </c>
      <c r="B12" s="196"/>
      <c r="D12" s="197"/>
      <c r="E12" s="198" t="str">
        <f>IF(OR($B12=0,D12=0),"",D12/$B12)</f>
        <v/>
      </c>
      <c r="F12" s="199"/>
      <c r="G12" s="198" t="str">
        <f>IF(OR($B12=0,F12=0),"",F12/$B12)</f>
        <v/>
      </c>
      <c r="H12" s="197"/>
      <c r="I12" s="198" t="str">
        <f>IF(OR($B12=0,H12=0),"",H12/$B12)</f>
        <v/>
      </c>
      <c r="J12" s="197"/>
      <c r="K12" s="198" t="str">
        <f>IF(OR($B12=0,J12=0),"",J12/$B12)</f>
        <v/>
      </c>
      <c r="L12" s="197"/>
      <c r="M12" s="198" t="str">
        <f>IF(OR($B12=0,L12=0),"",L12/$B12)</f>
        <v/>
      </c>
      <c r="N12" s="197"/>
      <c r="O12" s="198" t="str">
        <f>IF(OR($B12=0,N12=0),"",N12/$B12)</f>
        <v/>
      </c>
      <c r="P12" s="197">
        <v>940</v>
      </c>
      <c r="Q12" s="198" t="str">
        <f>IF(OR($B12=0,P12=0),"",P12/$B12)</f>
        <v/>
      </c>
      <c r="R12" s="197"/>
      <c r="S12" s="198" t="str">
        <f>IF(OR($B12=0,R12=0),"",R12/$B12)</f>
        <v/>
      </c>
      <c r="T12" s="197"/>
      <c r="U12" s="198" t="str">
        <f>IF(OR($B12=0,T12=0),"",T12/$B12)</f>
        <v/>
      </c>
      <c r="V12" s="197"/>
      <c r="W12" s="198" t="str">
        <f>IF(OR($B12=0,V12=0),"",V12/$B12)</f>
        <v/>
      </c>
      <c r="X12" s="197"/>
      <c r="Y12" s="198" t="str">
        <f>IF(OR($B12=0,X12=0),"",X12/$B12)</f>
        <v/>
      </c>
      <c r="Z12" s="197">
        <v>5</v>
      </c>
      <c r="AA12" s="198" t="str">
        <f>IF(OR($B12=0,Z12=0),"",Z12/$B12)</f>
        <v/>
      </c>
      <c r="AB12" s="197"/>
      <c r="AC12" s="198" t="str">
        <f>IF(OR($B12=0,AB12=0),"",AB12/$B12)</f>
        <v/>
      </c>
      <c r="AD12" s="197"/>
      <c r="AE12" s="198" t="str">
        <f>IF(OR($B12=0,AD12=0),"",AD12/$B12)</f>
        <v/>
      </c>
      <c r="AF12" s="197"/>
      <c r="AG12" s="198" t="str">
        <f>IF(OR($B12=0,AF12=0),"",AF12/$B12)</f>
        <v/>
      </c>
      <c r="AH12" s="197"/>
      <c r="AI12" s="198" t="str">
        <f>IF(OR($B12=0,AH12=0),"",AH12/$B12)</f>
        <v/>
      </c>
      <c r="AJ12" s="197"/>
      <c r="AK12" s="198" t="str">
        <f>IF(OR($B12=0,AJ12=0),"",AJ12/$B12)</f>
        <v/>
      </c>
      <c r="AL12" s="197"/>
      <c r="AM12" s="198" t="str">
        <f>IF(OR($B12=0,AL12=0),"",AL12/$B12)</f>
        <v/>
      </c>
      <c r="AN12" s="197"/>
      <c r="AO12" s="198" t="str">
        <f>IF(OR($B12=0,AN12=0),"",AN12/$B12)</f>
        <v/>
      </c>
      <c r="AP12" s="197">
        <v>945</v>
      </c>
      <c r="AQ12" s="198" t="str">
        <f>IF(OR($B12=0,AP12=0),"",AP12/$B12)</f>
        <v/>
      </c>
    </row>
    <row r="13" spans="1:43">
      <c r="A13" s="200"/>
      <c r="B13">
        <v>1.0999999999999999E-2</v>
      </c>
      <c r="D13" s="201"/>
      <c r="E13" s="198" t="str">
        <f t="shared" ref="E13:G76" si="0">IF(OR($B13=0,D13=0),"",D13/$B13)</f>
        <v/>
      </c>
      <c r="F13" s="201"/>
      <c r="G13" s="198" t="str">
        <f t="shared" si="0"/>
        <v/>
      </c>
      <c r="H13" s="201"/>
      <c r="I13" s="198" t="str">
        <f t="shared" ref="I13:I76" si="1">IF(OR($B13=0,H13=0),"",H13/$B13)</f>
        <v/>
      </c>
      <c r="J13" s="201">
        <v>8680</v>
      </c>
      <c r="K13" s="198">
        <f t="shared" ref="K13:K76" si="2">IF(OR($B13=0,J13=0),"",J13/$B13)</f>
        <v>789090.90909090918</v>
      </c>
      <c r="L13" s="201"/>
      <c r="M13" s="198" t="str">
        <f t="shared" ref="M13:M76" si="3">IF(OR($B13=0,L13=0),"",L13/$B13)</f>
        <v/>
      </c>
      <c r="N13" s="201"/>
      <c r="O13" s="198" t="str">
        <f t="shared" ref="O13:O76" si="4">IF(OR($B13=0,N13=0),"",N13/$B13)</f>
        <v/>
      </c>
      <c r="P13" s="201"/>
      <c r="Q13" s="198" t="str">
        <f t="shared" ref="Q13:Q76" si="5">IF(OR($B13=0,P13=0),"",P13/$B13)</f>
        <v/>
      </c>
      <c r="R13" s="201"/>
      <c r="S13" s="198" t="str">
        <f t="shared" ref="S13:S76" si="6">IF(OR($B13=0,R13=0),"",R13/$B13)</f>
        <v/>
      </c>
      <c r="T13" s="201"/>
      <c r="U13" s="198" t="str">
        <f t="shared" ref="U13:U76" si="7">IF(OR($B13=0,T13=0),"",T13/$B13)</f>
        <v/>
      </c>
      <c r="V13" s="201"/>
      <c r="W13" s="198" t="str">
        <f t="shared" ref="W13:W76" si="8">IF(OR($B13=0,V13=0),"",V13/$B13)</f>
        <v/>
      </c>
      <c r="X13" s="201"/>
      <c r="Y13" s="198" t="str">
        <f t="shared" ref="Y13:Y76" si="9">IF(OR($B13=0,X13=0),"",X13/$B13)</f>
        <v/>
      </c>
      <c r="Z13" s="201">
        <v>51</v>
      </c>
      <c r="AA13" s="198">
        <f t="shared" ref="AA13:AA76" si="10">IF(OR($B13=0,Z13=0),"",Z13/$B13)</f>
        <v>4636.3636363636369</v>
      </c>
      <c r="AB13" s="201"/>
      <c r="AC13" s="198" t="str">
        <f t="shared" ref="AC13:AC76" si="11">IF(OR($B13=0,AB13=0),"",AB13/$B13)</f>
        <v/>
      </c>
      <c r="AD13" s="201"/>
      <c r="AE13" s="198" t="str">
        <f t="shared" ref="AE13:AE76" si="12">IF(OR($B13=0,AD13=0),"",AD13/$B13)</f>
        <v/>
      </c>
      <c r="AF13" s="201"/>
      <c r="AG13" s="198" t="str">
        <f t="shared" ref="AG13:AG76" si="13">IF(OR($B13=0,AF13=0),"",AF13/$B13)</f>
        <v/>
      </c>
      <c r="AH13" s="201"/>
      <c r="AI13" s="198" t="str">
        <f t="shared" ref="AI13:AI76" si="14">IF(OR($B13=0,AH13=0),"",AH13/$B13)</f>
        <v/>
      </c>
      <c r="AJ13" s="201">
        <v>5</v>
      </c>
      <c r="AK13" s="198">
        <f t="shared" ref="AK13:AK76" si="15">IF(OR($B13=0,AJ13=0),"",AJ13/$B13)</f>
        <v>454.54545454545456</v>
      </c>
      <c r="AL13" s="201"/>
      <c r="AM13" s="198" t="str">
        <f t="shared" ref="AM13:AM76" si="16">IF(OR($B13=0,AL13=0),"",AL13/$B13)</f>
        <v/>
      </c>
      <c r="AN13" s="201"/>
      <c r="AO13" s="198" t="str">
        <f t="shared" ref="AO13:AO76" si="17">IF(OR($B13=0,AN13=0),"",AN13/$B13)</f>
        <v/>
      </c>
      <c r="AP13" s="201">
        <v>8736</v>
      </c>
      <c r="AQ13" s="198">
        <f t="shared" ref="AQ13:AQ76" si="18">IF(OR($B13=0,AP13=0),"",AP13/$B13)</f>
        <v>794181.81818181823</v>
      </c>
    </row>
    <row r="14" spans="1:43">
      <c r="A14" s="200"/>
      <c r="B14">
        <v>3.2709999999999999</v>
      </c>
      <c r="D14" s="201">
        <v>25366</v>
      </c>
      <c r="E14" s="198">
        <f t="shared" si="0"/>
        <v>7754.8150412717823</v>
      </c>
      <c r="F14" s="201"/>
      <c r="G14" s="198" t="str">
        <f t="shared" si="0"/>
        <v/>
      </c>
      <c r="H14" s="201"/>
      <c r="I14" s="198" t="str">
        <f t="shared" si="1"/>
        <v/>
      </c>
      <c r="J14" s="201"/>
      <c r="K14" s="198" t="str">
        <f t="shared" si="2"/>
        <v/>
      </c>
      <c r="L14" s="201"/>
      <c r="M14" s="198" t="str">
        <f t="shared" si="3"/>
        <v/>
      </c>
      <c r="N14" s="201">
        <v>184</v>
      </c>
      <c r="O14" s="198">
        <f t="shared" si="4"/>
        <v>56.251910730663404</v>
      </c>
      <c r="P14" s="201">
        <v>865</v>
      </c>
      <c r="Q14" s="198">
        <f t="shared" si="5"/>
        <v>264.44512381534702</v>
      </c>
      <c r="R14" s="201">
        <v>431</v>
      </c>
      <c r="S14" s="198">
        <f t="shared" si="6"/>
        <v>131.76398654845613</v>
      </c>
      <c r="T14" s="201"/>
      <c r="U14" s="198" t="str">
        <f t="shared" si="7"/>
        <v/>
      </c>
      <c r="V14" s="201"/>
      <c r="W14" s="198" t="str">
        <f t="shared" si="8"/>
        <v/>
      </c>
      <c r="X14" s="201"/>
      <c r="Y14" s="198" t="str">
        <f t="shared" si="9"/>
        <v/>
      </c>
      <c r="Z14" s="201">
        <v>1689</v>
      </c>
      <c r="AA14" s="198">
        <f t="shared" si="10"/>
        <v>516.35585447875269</v>
      </c>
      <c r="AB14" s="201">
        <v>3859</v>
      </c>
      <c r="AC14" s="198">
        <f t="shared" si="11"/>
        <v>1179.7615408132069</v>
      </c>
      <c r="AD14" s="201">
        <v>75</v>
      </c>
      <c r="AE14" s="198">
        <f t="shared" si="12"/>
        <v>22.928767960868235</v>
      </c>
      <c r="AF14" s="201"/>
      <c r="AG14" s="198" t="str">
        <f t="shared" si="13"/>
        <v/>
      </c>
      <c r="AH14" s="201"/>
      <c r="AI14" s="198" t="str">
        <f t="shared" si="14"/>
        <v/>
      </c>
      <c r="AJ14" s="201">
        <v>32375</v>
      </c>
      <c r="AK14" s="198">
        <f t="shared" si="15"/>
        <v>9897.584836441456</v>
      </c>
      <c r="AL14" s="201"/>
      <c r="AM14" s="198" t="str">
        <f t="shared" si="16"/>
        <v/>
      </c>
      <c r="AN14" s="201">
        <v>6170</v>
      </c>
      <c r="AO14" s="198">
        <f t="shared" si="17"/>
        <v>1886.2733109140936</v>
      </c>
      <c r="AP14" s="201">
        <v>45648</v>
      </c>
      <c r="AQ14" s="198">
        <f t="shared" si="18"/>
        <v>13955.365331702844</v>
      </c>
    </row>
    <row r="15" spans="1:43">
      <c r="A15" s="200"/>
      <c r="B15">
        <v>7.19</v>
      </c>
      <c r="D15" s="201">
        <v>45384</v>
      </c>
      <c r="E15" s="198">
        <f t="shared" si="0"/>
        <v>6312.1001390820584</v>
      </c>
      <c r="F15" s="201"/>
      <c r="G15" s="198" t="str">
        <f t="shared" si="0"/>
        <v/>
      </c>
      <c r="H15" s="201"/>
      <c r="I15" s="198" t="str">
        <f t="shared" si="1"/>
        <v/>
      </c>
      <c r="J15" s="201"/>
      <c r="K15" s="198" t="str">
        <f t="shared" si="2"/>
        <v/>
      </c>
      <c r="L15" s="201"/>
      <c r="M15" s="198" t="str">
        <f t="shared" si="3"/>
        <v/>
      </c>
      <c r="N15" s="201">
        <v>234</v>
      </c>
      <c r="O15" s="198">
        <f t="shared" si="4"/>
        <v>32.545201668984696</v>
      </c>
      <c r="P15" s="201">
        <v>11938</v>
      </c>
      <c r="Q15" s="198">
        <f t="shared" si="5"/>
        <v>1660.3616133518776</v>
      </c>
      <c r="R15" s="201">
        <v>4862</v>
      </c>
      <c r="S15" s="198">
        <f t="shared" si="6"/>
        <v>676.21696801112648</v>
      </c>
      <c r="T15" s="201"/>
      <c r="U15" s="198" t="str">
        <f t="shared" si="7"/>
        <v/>
      </c>
      <c r="V15" s="201"/>
      <c r="W15" s="198" t="str">
        <f t="shared" si="8"/>
        <v/>
      </c>
      <c r="X15" s="201"/>
      <c r="Y15" s="198" t="str">
        <f t="shared" si="9"/>
        <v/>
      </c>
      <c r="Z15" s="201">
        <v>4583</v>
      </c>
      <c r="AA15" s="198">
        <f t="shared" si="10"/>
        <v>637.41307371349092</v>
      </c>
      <c r="AB15" s="201">
        <v>32730</v>
      </c>
      <c r="AC15" s="198">
        <f t="shared" si="11"/>
        <v>4552.1557719054235</v>
      </c>
      <c r="AD15" s="201"/>
      <c r="AE15" s="198" t="str">
        <f t="shared" si="12"/>
        <v/>
      </c>
      <c r="AF15" s="201"/>
      <c r="AG15" s="198" t="str">
        <f t="shared" si="13"/>
        <v/>
      </c>
      <c r="AH15" s="201"/>
      <c r="AI15" s="198" t="str">
        <f t="shared" si="14"/>
        <v/>
      </c>
      <c r="AJ15" s="201">
        <v>42610</v>
      </c>
      <c r="AK15" s="198">
        <f t="shared" si="15"/>
        <v>5926.2865090403338</v>
      </c>
      <c r="AL15" s="201"/>
      <c r="AM15" s="198" t="str">
        <f t="shared" si="16"/>
        <v/>
      </c>
      <c r="AN15" s="201">
        <v>6314</v>
      </c>
      <c r="AO15" s="198">
        <f t="shared" si="17"/>
        <v>878.16411682892897</v>
      </c>
      <c r="AP15" s="201">
        <v>103271</v>
      </c>
      <c r="AQ15" s="198">
        <f t="shared" si="18"/>
        <v>14363.143254520166</v>
      </c>
    </row>
    <row r="16" spans="1:43">
      <c r="A16" s="200"/>
      <c r="B16">
        <v>0.23100000000000001</v>
      </c>
      <c r="D16" s="201">
        <v>1259</v>
      </c>
      <c r="E16" s="198">
        <f t="shared" si="0"/>
        <v>5450.2164502164496</v>
      </c>
      <c r="F16" s="201"/>
      <c r="G16" s="198" t="str">
        <f t="shared" si="0"/>
        <v/>
      </c>
      <c r="H16" s="201"/>
      <c r="I16" s="198" t="str">
        <f t="shared" si="1"/>
        <v/>
      </c>
      <c r="J16" s="201"/>
      <c r="K16" s="198" t="str">
        <f t="shared" si="2"/>
        <v/>
      </c>
      <c r="L16" s="201"/>
      <c r="M16" s="198" t="str">
        <f t="shared" si="3"/>
        <v/>
      </c>
      <c r="N16" s="201"/>
      <c r="O16" s="198" t="str">
        <f t="shared" si="4"/>
        <v/>
      </c>
      <c r="P16" s="201">
        <v>1000</v>
      </c>
      <c r="Q16" s="198">
        <f t="shared" si="5"/>
        <v>4329.0043290043286</v>
      </c>
      <c r="R16" s="201"/>
      <c r="S16" s="198" t="str">
        <f t="shared" si="6"/>
        <v/>
      </c>
      <c r="T16" s="201"/>
      <c r="U16" s="198" t="str">
        <f t="shared" si="7"/>
        <v/>
      </c>
      <c r="V16" s="201"/>
      <c r="W16" s="198" t="str">
        <f t="shared" si="8"/>
        <v/>
      </c>
      <c r="X16" s="201"/>
      <c r="Y16" s="198" t="str">
        <f t="shared" si="9"/>
        <v/>
      </c>
      <c r="Z16" s="201"/>
      <c r="AA16" s="198" t="str">
        <f t="shared" si="10"/>
        <v/>
      </c>
      <c r="AB16" s="201"/>
      <c r="AC16" s="198" t="str">
        <f t="shared" si="11"/>
        <v/>
      </c>
      <c r="AD16" s="201"/>
      <c r="AE16" s="198" t="str">
        <f t="shared" si="12"/>
        <v/>
      </c>
      <c r="AF16" s="201"/>
      <c r="AG16" s="198" t="str">
        <f t="shared" si="13"/>
        <v/>
      </c>
      <c r="AH16" s="201"/>
      <c r="AI16" s="198" t="str">
        <f t="shared" si="14"/>
        <v/>
      </c>
      <c r="AJ16" s="201">
        <v>375</v>
      </c>
      <c r="AK16" s="198">
        <f t="shared" si="15"/>
        <v>1623.3766233766232</v>
      </c>
      <c r="AL16" s="201"/>
      <c r="AM16" s="198" t="str">
        <f t="shared" si="16"/>
        <v/>
      </c>
      <c r="AN16" s="201">
        <v>530</v>
      </c>
      <c r="AO16" s="198">
        <f t="shared" si="17"/>
        <v>2294.3722943722942</v>
      </c>
      <c r="AP16" s="201">
        <v>1905</v>
      </c>
      <c r="AQ16" s="198">
        <f t="shared" si="18"/>
        <v>8246.7532467532455</v>
      </c>
    </row>
    <row r="17" spans="1:43">
      <c r="A17" s="200"/>
      <c r="B17">
        <v>0.06</v>
      </c>
      <c r="D17" s="201"/>
      <c r="E17" s="198" t="str">
        <f t="shared" si="0"/>
        <v/>
      </c>
      <c r="F17" s="201"/>
      <c r="G17" s="198" t="str">
        <f t="shared" si="0"/>
        <v/>
      </c>
      <c r="H17" s="201"/>
      <c r="I17" s="198" t="str">
        <f t="shared" si="1"/>
        <v/>
      </c>
      <c r="J17" s="201"/>
      <c r="K17" s="198" t="str">
        <f t="shared" si="2"/>
        <v/>
      </c>
      <c r="L17" s="201"/>
      <c r="M17" s="198" t="str">
        <f t="shared" si="3"/>
        <v/>
      </c>
      <c r="N17" s="201"/>
      <c r="O17" s="198" t="str">
        <f t="shared" si="4"/>
        <v/>
      </c>
      <c r="P17" s="201">
        <v>50</v>
      </c>
      <c r="Q17" s="198">
        <f t="shared" si="5"/>
        <v>833.33333333333337</v>
      </c>
      <c r="R17" s="201"/>
      <c r="S17" s="198" t="str">
        <f t="shared" si="6"/>
        <v/>
      </c>
      <c r="T17" s="201"/>
      <c r="U17" s="198" t="str">
        <f t="shared" si="7"/>
        <v/>
      </c>
      <c r="V17" s="201"/>
      <c r="W17" s="198" t="str">
        <f t="shared" si="8"/>
        <v/>
      </c>
      <c r="X17" s="201"/>
      <c r="Y17" s="198" t="str">
        <f t="shared" si="9"/>
        <v/>
      </c>
      <c r="Z17" s="201">
        <v>54</v>
      </c>
      <c r="AA17" s="198">
        <f t="shared" si="10"/>
        <v>900</v>
      </c>
      <c r="AB17" s="201">
        <v>6000</v>
      </c>
      <c r="AC17" s="198">
        <f t="shared" si="11"/>
        <v>100000</v>
      </c>
      <c r="AD17" s="201"/>
      <c r="AE17" s="198" t="str">
        <f t="shared" si="12"/>
        <v/>
      </c>
      <c r="AF17" s="201"/>
      <c r="AG17" s="198" t="str">
        <f t="shared" si="13"/>
        <v/>
      </c>
      <c r="AH17" s="201"/>
      <c r="AI17" s="198" t="str">
        <f t="shared" si="14"/>
        <v/>
      </c>
      <c r="AJ17" s="201">
        <v>6</v>
      </c>
      <c r="AK17" s="198">
        <f t="shared" si="15"/>
        <v>100</v>
      </c>
      <c r="AL17" s="201"/>
      <c r="AM17" s="198" t="str">
        <f t="shared" si="16"/>
        <v/>
      </c>
      <c r="AN17" s="201"/>
      <c r="AO17" s="198" t="str">
        <f t="shared" si="17"/>
        <v/>
      </c>
      <c r="AP17" s="201">
        <v>6110</v>
      </c>
      <c r="AQ17" s="198">
        <f t="shared" si="18"/>
        <v>101833.33333333334</v>
      </c>
    </row>
    <row r="18" spans="1:43">
      <c r="A18" s="200"/>
      <c r="B18">
        <v>0.16</v>
      </c>
      <c r="D18" s="201"/>
      <c r="E18" s="198" t="str">
        <f t="shared" si="0"/>
        <v/>
      </c>
      <c r="F18" s="201"/>
      <c r="G18" s="198" t="str">
        <f t="shared" si="0"/>
        <v/>
      </c>
      <c r="H18" s="201"/>
      <c r="I18" s="198" t="str">
        <f t="shared" si="1"/>
        <v/>
      </c>
      <c r="J18" s="201"/>
      <c r="K18" s="198" t="str">
        <f t="shared" si="2"/>
        <v/>
      </c>
      <c r="L18" s="201"/>
      <c r="M18" s="198" t="str">
        <f t="shared" si="3"/>
        <v/>
      </c>
      <c r="N18" s="201">
        <v>70</v>
      </c>
      <c r="O18" s="198">
        <f t="shared" si="4"/>
        <v>437.5</v>
      </c>
      <c r="P18" s="201">
        <v>36</v>
      </c>
      <c r="Q18" s="198">
        <f t="shared" si="5"/>
        <v>225</v>
      </c>
      <c r="R18" s="201"/>
      <c r="S18" s="198" t="str">
        <f t="shared" si="6"/>
        <v/>
      </c>
      <c r="T18" s="201"/>
      <c r="U18" s="198" t="str">
        <f t="shared" si="7"/>
        <v/>
      </c>
      <c r="V18" s="201"/>
      <c r="W18" s="198" t="str">
        <f t="shared" si="8"/>
        <v/>
      </c>
      <c r="X18" s="201"/>
      <c r="Y18" s="198" t="str">
        <f t="shared" si="9"/>
        <v/>
      </c>
      <c r="Z18" s="201">
        <v>54</v>
      </c>
      <c r="AA18" s="198">
        <f t="shared" si="10"/>
        <v>337.5</v>
      </c>
      <c r="AB18" s="201"/>
      <c r="AC18" s="198" t="str">
        <f t="shared" si="11"/>
        <v/>
      </c>
      <c r="AD18" s="201"/>
      <c r="AE18" s="198" t="str">
        <f t="shared" si="12"/>
        <v/>
      </c>
      <c r="AF18" s="201"/>
      <c r="AG18" s="198" t="str">
        <f t="shared" si="13"/>
        <v/>
      </c>
      <c r="AH18" s="201"/>
      <c r="AI18" s="198" t="str">
        <f t="shared" si="14"/>
        <v/>
      </c>
      <c r="AJ18" s="201">
        <v>5</v>
      </c>
      <c r="AK18" s="198">
        <f t="shared" si="15"/>
        <v>31.25</v>
      </c>
      <c r="AL18" s="201"/>
      <c r="AM18" s="198" t="str">
        <f t="shared" si="16"/>
        <v/>
      </c>
      <c r="AN18" s="201"/>
      <c r="AO18" s="198" t="str">
        <f t="shared" si="17"/>
        <v/>
      </c>
      <c r="AP18" s="201">
        <v>165</v>
      </c>
      <c r="AQ18" s="198">
        <f t="shared" si="18"/>
        <v>1031.25</v>
      </c>
    </row>
    <row r="19" spans="1:43">
      <c r="A19" s="200"/>
      <c r="B19">
        <v>0.19</v>
      </c>
      <c r="D19" s="201"/>
      <c r="E19" s="198" t="str">
        <f t="shared" si="0"/>
        <v/>
      </c>
      <c r="F19" s="201"/>
      <c r="G19" s="198" t="str">
        <f t="shared" si="0"/>
        <v/>
      </c>
      <c r="H19" s="201"/>
      <c r="I19" s="198" t="str">
        <f t="shared" si="1"/>
        <v/>
      </c>
      <c r="J19" s="201"/>
      <c r="K19" s="198" t="str">
        <f t="shared" si="2"/>
        <v/>
      </c>
      <c r="L19" s="201"/>
      <c r="M19" s="198" t="str">
        <f t="shared" si="3"/>
        <v/>
      </c>
      <c r="N19" s="201"/>
      <c r="O19" s="198" t="str">
        <f t="shared" si="4"/>
        <v/>
      </c>
      <c r="P19" s="201">
        <v>23</v>
      </c>
      <c r="Q19" s="198">
        <f t="shared" si="5"/>
        <v>121.05263157894737</v>
      </c>
      <c r="R19" s="201">
        <v>39</v>
      </c>
      <c r="S19" s="198">
        <f t="shared" si="6"/>
        <v>205.26315789473685</v>
      </c>
      <c r="T19" s="201"/>
      <c r="U19" s="198" t="str">
        <f t="shared" si="7"/>
        <v/>
      </c>
      <c r="V19" s="201"/>
      <c r="W19" s="198" t="str">
        <f t="shared" si="8"/>
        <v/>
      </c>
      <c r="X19" s="201"/>
      <c r="Y19" s="198" t="str">
        <f t="shared" si="9"/>
        <v/>
      </c>
      <c r="Z19" s="201">
        <v>79</v>
      </c>
      <c r="AA19" s="198">
        <f t="shared" si="10"/>
        <v>415.78947368421052</v>
      </c>
      <c r="AB19" s="201"/>
      <c r="AC19" s="198" t="str">
        <f t="shared" si="11"/>
        <v/>
      </c>
      <c r="AD19" s="201"/>
      <c r="AE19" s="198" t="str">
        <f t="shared" si="12"/>
        <v/>
      </c>
      <c r="AF19" s="201"/>
      <c r="AG19" s="198" t="str">
        <f t="shared" si="13"/>
        <v/>
      </c>
      <c r="AH19" s="201"/>
      <c r="AI19" s="198" t="str">
        <f t="shared" si="14"/>
        <v/>
      </c>
      <c r="AJ19" s="201">
        <v>7</v>
      </c>
      <c r="AK19" s="198">
        <f t="shared" si="15"/>
        <v>36.842105263157897</v>
      </c>
      <c r="AL19" s="201"/>
      <c r="AM19" s="198" t="str">
        <f t="shared" si="16"/>
        <v/>
      </c>
      <c r="AN19" s="201">
        <v>505</v>
      </c>
      <c r="AO19" s="198">
        <f t="shared" si="17"/>
        <v>2657.8947368421054</v>
      </c>
      <c r="AP19" s="201">
        <v>653</v>
      </c>
      <c r="AQ19" s="198">
        <f t="shared" si="18"/>
        <v>3436.8421052631579</v>
      </c>
    </row>
    <row r="20" spans="1:43">
      <c r="A20" s="190" t="s">
        <v>233</v>
      </c>
      <c r="B20" s="196">
        <v>6.85</v>
      </c>
      <c r="D20" s="197">
        <v>59368</v>
      </c>
      <c r="E20" s="198">
        <f t="shared" si="0"/>
        <v>8666.8613138686142</v>
      </c>
      <c r="F20" s="197">
        <v>63072</v>
      </c>
      <c r="G20" s="198">
        <f t="shared" si="0"/>
        <v>9207.5912408759123</v>
      </c>
      <c r="H20" s="197"/>
      <c r="I20" s="198" t="str">
        <f t="shared" si="1"/>
        <v/>
      </c>
      <c r="J20" s="197">
        <v>1938704</v>
      </c>
      <c r="K20" s="198">
        <f t="shared" si="2"/>
        <v>283022.48175182485</v>
      </c>
      <c r="L20" s="197"/>
      <c r="M20" s="198" t="str">
        <f t="shared" si="3"/>
        <v/>
      </c>
      <c r="N20" s="197">
        <v>1725</v>
      </c>
      <c r="O20" s="198">
        <f t="shared" si="4"/>
        <v>251.82481751824818</v>
      </c>
      <c r="P20" s="197">
        <v>16755</v>
      </c>
      <c r="Q20" s="198">
        <f t="shared" si="5"/>
        <v>2445.9854014598541</v>
      </c>
      <c r="R20" s="197">
        <v>490</v>
      </c>
      <c r="S20" s="198">
        <f t="shared" si="6"/>
        <v>71.532846715328475</v>
      </c>
      <c r="T20" s="197"/>
      <c r="U20" s="198" t="str">
        <f t="shared" si="7"/>
        <v/>
      </c>
      <c r="V20" s="197"/>
      <c r="W20" s="198" t="str">
        <f t="shared" si="8"/>
        <v/>
      </c>
      <c r="X20" s="197"/>
      <c r="Y20" s="198" t="str">
        <f t="shared" si="9"/>
        <v/>
      </c>
      <c r="Z20" s="197">
        <v>1278</v>
      </c>
      <c r="AA20" s="198">
        <f t="shared" si="10"/>
        <v>186.56934306569343</v>
      </c>
      <c r="AB20" s="197"/>
      <c r="AC20" s="198" t="str">
        <f t="shared" si="11"/>
        <v/>
      </c>
      <c r="AD20" s="197"/>
      <c r="AE20" s="198" t="str">
        <f t="shared" si="12"/>
        <v/>
      </c>
      <c r="AF20" s="197"/>
      <c r="AG20" s="198" t="str">
        <f t="shared" si="13"/>
        <v/>
      </c>
      <c r="AH20" s="197"/>
      <c r="AI20" s="198" t="str">
        <f t="shared" si="14"/>
        <v/>
      </c>
      <c r="AJ20" s="197">
        <v>191</v>
      </c>
      <c r="AK20" s="198">
        <f t="shared" si="15"/>
        <v>27.883211678832119</v>
      </c>
      <c r="AL20" s="197"/>
      <c r="AM20" s="198" t="str">
        <f t="shared" si="16"/>
        <v/>
      </c>
      <c r="AN20" s="197">
        <v>67</v>
      </c>
      <c r="AO20" s="198">
        <f t="shared" si="17"/>
        <v>9.7810218978102199</v>
      </c>
      <c r="AP20" s="197">
        <v>2022282</v>
      </c>
      <c r="AQ20" s="198">
        <f t="shared" si="18"/>
        <v>295223.64963503653</v>
      </c>
    </row>
    <row r="21" spans="1:43">
      <c r="A21" s="200"/>
      <c r="B21">
        <v>1.89</v>
      </c>
      <c r="D21" s="201">
        <v>359</v>
      </c>
      <c r="E21" s="198">
        <f t="shared" si="0"/>
        <v>189.94708994708995</v>
      </c>
      <c r="F21" s="201">
        <v>3725</v>
      </c>
      <c r="G21" s="198">
        <f t="shared" si="0"/>
        <v>1970.899470899471</v>
      </c>
      <c r="H21" s="201"/>
      <c r="I21" s="198" t="str">
        <f t="shared" si="1"/>
        <v/>
      </c>
      <c r="J21" s="201"/>
      <c r="K21" s="198" t="str">
        <f t="shared" si="2"/>
        <v/>
      </c>
      <c r="L21" s="201"/>
      <c r="M21" s="198" t="str">
        <f t="shared" si="3"/>
        <v/>
      </c>
      <c r="N21" s="201">
        <v>377</v>
      </c>
      <c r="O21" s="198">
        <f t="shared" si="4"/>
        <v>199.47089947089947</v>
      </c>
      <c r="P21" s="201">
        <v>6678</v>
      </c>
      <c r="Q21" s="198">
        <f t="shared" si="5"/>
        <v>3533.3333333333335</v>
      </c>
      <c r="R21" s="201"/>
      <c r="S21" s="198" t="str">
        <f t="shared" si="6"/>
        <v/>
      </c>
      <c r="T21" s="201"/>
      <c r="U21" s="198" t="str">
        <f t="shared" si="7"/>
        <v/>
      </c>
      <c r="V21" s="201"/>
      <c r="W21" s="198" t="str">
        <f t="shared" si="8"/>
        <v/>
      </c>
      <c r="X21" s="201"/>
      <c r="Y21" s="198" t="str">
        <f t="shared" si="9"/>
        <v/>
      </c>
      <c r="Z21" s="201">
        <v>286</v>
      </c>
      <c r="AA21" s="198">
        <f t="shared" si="10"/>
        <v>151.32275132275134</v>
      </c>
      <c r="AB21" s="201"/>
      <c r="AC21" s="198" t="str">
        <f t="shared" si="11"/>
        <v/>
      </c>
      <c r="AD21" s="201"/>
      <c r="AE21" s="198" t="str">
        <f t="shared" si="12"/>
        <v/>
      </c>
      <c r="AF21" s="201"/>
      <c r="AG21" s="198" t="str">
        <f t="shared" si="13"/>
        <v/>
      </c>
      <c r="AH21" s="201"/>
      <c r="AI21" s="198" t="str">
        <f t="shared" si="14"/>
        <v/>
      </c>
      <c r="AJ21" s="201">
        <v>985</v>
      </c>
      <c r="AK21" s="198">
        <f t="shared" si="15"/>
        <v>521.16402116402116</v>
      </c>
      <c r="AL21" s="201"/>
      <c r="AM21" s="198" t="str">
        <f t="shared" si="16"/>
        <v/>
      </c>
      <c r="AN21" s="201"/>
      <c r="AO21" s="198" t="str">
        <f t="shared" si="17"/>
        <v/>
      </c>
      <c r="AP21" s="201">
        <v>12051</v>
      </c>
      <c r="AQ21" s="198">
        <f t="shared" si="18"/>
        <v>6376.1904761904761</v>
      </c>
    </row>
    <row r="22" spans="1:43">
      <c r="A22" s="190" t="s">
        <v>234</v>
      </c>
      <c r="B22" s="196">
        <v>14.74</v>
      </c>
      <c r="D22" s="197">
        <v>931</v>
      </c>
      <c r="E22" s="198">
        <f t="shared" si="0"/>
        <v>63.161465400271368</v>
      </c>
      <c r="F22" s="197"/>
      <c r="G22" s="198" t="str">
        <f t="shared" si="0"/>
        <v/>
      </c>
      <c r="H22" s="197"/>
      <c r="I22" s="198" t="str">
        <f t="shared" si="1"/>
        <v/>
      </c>
      <c r="J22" s="197"/>
      <c r="K22" s="198" t="str">
        <f t="shared" si="2"/>
        <v/>
      </c>
      <c r="L22" s="197"/>
      <c r="M22" s="198" t="str">
        <f t="shared" si="3"/>
        <v/>
      </c>
      <c r="N22" s="197">
        <v>428</v>
      </c>
      <c r="O22" s="198">
        <f t="shared" si="4"/>
        <v>29.036635006784259</v>
      </c>
      <c r="P22" s="197">
        <v>8141</v>
      </c>
      <c r="Q22" s="198">
        <f t="shared" si="5"/>
        <v>552.3066485753053</v>
      </c>
      <c r="R22" s="197">
        <v>57</v>
      </c>
      <c r="S22" s="198">
        <f t="shared" si="6"/>
        <v>3.8670284938941655</v>
      </c>
      <c r="T22" s="197"/>
      <c r="U22" s="198" t="str">
        <f t="shared" si="7"/>
        <v/>
      </c>
      <c r="V22" s="197">
        <v>456</v>
      </c>
      <c r="W22" s="198">
        <f t="shared" si="8"/>
        <v>30.936227951153324</v>
      </c>
      <c r="X22" s="197"/>
      <c r="Y22" s="198" t="str">
        <f t="shared" si="9"/>
        <v/>
      </c>
      <c r="Z22" s="197"/>
      <c r="AA22" s="198" t="str">
        <f t="shared" si="10"/>
        <v/>
      </c>
      <c r="AB22" s="197"/>
      <c r="AC22" s="198" t="str">
        <f t="shared" si="11"/>
        <v/>
      </c>
      <c r="AD22" s="197"/>
      <c r="AE22" s="198" t="str">
        <f t="shared" si="12"/>
        <v/>
      </c>
      <c r="AF22" s="197"/>
      <c r="AG22" s="198" t="str">
        <f t="shared" si="13"/>
        <v/>
      </c>
      <c r="AH22" s="197"/>
      <c r="AI22" s="198" t="str">
        <f t="shared" si="14"/>
        <v/>
      </c>
      <c r="AJ22" s="197">
        <v>21204</v>
      </c>
      <c r="AK22" s="198">
        <f t="shared" si="15"/>
        <v>1438.5345997286295</v>
      </c>
      <c r="AL22" s="197"/>
      <c r="AM22" s="198" t="str">
        <f t="shared" si="16"/>
        <v/>
      </c>
      <c r="AN22" s="197"/>
      <c r="AO22" s="198" t="str">
        <f t="shared" si="17"/>
        <v/>
      </c>
      <c r="AP22" s="197">
        <v>30286</v>
      </c>
      <c r="AQ22" s="198">
        <f t="shared" si="18"/>
        <v>2054.6811397557667</v>
      </c>
    </row>
    <row r="23" spans="1:43">
      <c r="A23" s="190" t="s">
        <v>235</v>
      </c>
      <c r="B23" s="196">
        <v>3.42</v>
      </c>
      <c r="D23" s="197">
        <v>10467</v>
      </c>
      <c r="E23" s="198">
        <f t="shared" si="0"/>
        <v>3060.5263157894738</v>
      </c>
      <c r="F23" s="197"/>
      <c r="G23" s="198" t="str">
        <f t="shared" si="0"/>
        <v/>
      </c>
      <c r="H23" s="197"/>
      <c r="I23" s="198" t="str">
        <f t="shared" si="1"/>
        <v/>
      </c>
      <c r="J23" s="197"/>
      <c r="K23" s="198" t="str">
        <f t="shared" si="2"/>
        <v/>
      </c>
      <c r="L23" s="197"/>
      <c r="M23" s="198" t="str">
        <f t="shared" si="3"/>
        <v/>
      </c>
      <c r="N23" s="197"/>
      <c r="O23" s="198" t="str">
        <f t="shared" si="4"/>
        <v/>
      </c>
      <c r="P23" s="197">
        <v>14720</v>
      </c>
      <c r="Q23" s="198">
        <f t="shared" si="5"/>
        <v>4304.0935672514624</v>
      </c>
      <c r="R23" s="197"/>
      <c r="S23" s="198" t="str">
        <f t="shared" si="6"/>
        <v/>
      </c>
      <c r="T23" s="197"/>
      <c r="U23" s="198" t="str">
        <f t="shared" si="7"/>
        <v/>
      </c>
      <c r="V23" s="197"/>
      <c r="W23" s="198" t="str">
        <f t="shared" si="8"/>
        <v/>
      </c>
      <c r="X23" s="197"/>
      <c r="Y23" s="198" t="str">
        <f t="shared" si="9"/>
        <v/>
      </c>
      <c r="Z23" s="197"/>
      <c r="AA23" s="198" t="str">
        <f t="shared" si="10"/>
        <v/>
      </c>
      <c r="AB23" s="197"/>
      <c r="AC23" s="198" t="str">
        <f t="shared" si="11"/>
        <v/>
      </c>
      <c r="AD23" s="197"/>
      <c r="AE23" s="198" t="str">
        <f t="shared" si="12"/>
        <v/>
      </c>
      <c r="AF23" s="197"/>
      <c r="AG23" s="198" t="str">
        <f t="shared" si="13"/>
        <v/>
      </c>
      <c r="AH23" s="197"/>
      <c r="AI23" s="198" t="str">
        <f t="shared" si="14"/>
        <v/>
      </c>
      <c r="AJ23" s="197"/>
      <c r="AK23" s="198" t="str">
        <f t="shared" si="15"/>
        <v/>
      </c>
      <c r="AL23" s="197"/>
      <c r="AM23" s="198" t="str">
        <f t="shared" si="16"/>
        <v/>
      </c>
      <c r="AN23" s="197"/>
      <c r="AO23" s="198" t="str">
        <f t="shared" si="17"/>
        <v/>
      </c>
      <c r="AP23" s="197">
        <v>14720</v>
      </c>
      <c r="AQ23" s="198">
        <f t="shared" si="18"/>
        <v>4304.0935672514624</v>
      </c>
    </row>
    <row r="24" spans="1:43">
      <c r="A24" s="190" t="s">
        <v>236</v>
      </c>
      <c r="B24" s="196">
        <v>0.36</v>
      </c>
      <c r="D24" s="197">
        <v>768.74</v>
      </c>
      <c r="E24" s="198">
        <f t="shared" si="0"/>
        <v>2135.3888888888891</v>
      </c>
      <c r="F24" s="197"/>
      <c r="G24" s="198" t="str">
        <f t="shared" si="0"/>
        <v/>
      </c>
      <c r="H24" s="197"/>
      <c r="I24" s="198" t="str">
        <f t="shared" si="1"/>
        <v/>
      </c>
      <c r="J24" s="197"/>
      <c r="K24" s="198" t="str">
        <f t="shared" si="2"/>
        <v/>
      </c>
      <c r="L24" s="197"/>
      <c r="M24" s="198" t="str">
        <f t="shared" si="3"/>
        <v/>
      </c>
      <c r="N24" s="197">
        <v>2</v>
      </c>
      <c r="O24" s="198">
        <f t="shared" si="4"/>
        <v>5.5555555555555554</v>
      </c>
      <c r="P24" s="197"/>
      <c r="Q24" s="198" t="str">
        <f t="shared" si="5"/>
        <v/>
      </c>
      <c r="R24" s="197"/>
      <c r="S24" s="198" t="str">
        <f t="shared" si="6"/>
        <v/>
      </c>
      <c r="T24" s="197"/>
      <c r="U24" s="198" t="str">
        <f t="shared" si="7"/>
        <v/>
      </c>
      <c r="V24" s="197"/>
      <c r="W24" s="198" t="str">
        <f t="shared" si="8"/>
        <v/>
      </c>
      <c r="X24" s="197"/>
      <c r="Y24" s="198" t="str">
        <f t="shared" si="9"/>
        <v/>
      </c>
      <c r="Z24" s="197"/>
      <c r="AA24" s="198" t="str">
        <f t="shared" si="10"/>
        <v/>
      </c>
      <c r="AB24" s="197"/>
      <c r="AC24" s="198" t="str">
        <f t="shared" si="11"/>
        <v/>
      </c>
      <c r="AD24" s="197"/>
      <c r="AE24" s="198" t="str">
        <f t="shared" si="12"/>
        <v/>
      </c>
      <c r="AF24" s="197"/>
      <c r="AG24" s="198" t="str">
        <f t="shared" si="13"/>
        <v/>
      </c>
      <c r="AH24" s="197"/>
      <c r="AI24" s="198" t="str">
        <f t="shared" si="14"/>
        <v/>
      </c>
      <c r="AJ24" s="197">
        <v>952</v>
      </c>
      <c r="AK24" s="198">
        <f t="shared" si="15"/>
        <v>2644.4444444444443</v>
      </c>
      <c r="AL24" s="197"/>
      <c r="AM24" s="198" t="str">
        <f t="shared" si="16"/>
        <v/>
      </c>
      <c r="AN24" s="197">
        <v>2</v>
      </c>
      <c r="AO24" s="198">
        <f t="shared" si="17"/>
        <v>5.5555555555555554</v>
      </c>
      <c r="AP24" s="197">
        <v>956</v>
      </c>
      <c r="AQ24" s="198">
        <f t="shared" si="18"/>
        <v>2655.5555555555557</v>
      </c>
    </row>
    <row r="25" spans="1:43">
      <c r="A25" s="190" t="s">
        <v>237</v>
      </c>
      <c r="B25" s="196">
        <v>4.3</v>
      </c>
      <c r="D25" s="197">
        <v>48304</v>
      </c>
      <c r="E25" s="198">
        <f t="shared" si="0"/>
        <v>11233.488372093023</v>
      </c>
      <c r="F25" s="197">
        <v>480</v>
      </c>
      <c r="G25" s="198">
        <f t="shared" si="0"/>
        <v>111.62790697674419</v>
      </c>
      <c r="H25" s="197"/>
      <c r="I25" s="198" t="str">
        <f t="shared" si="1"/>
        <v/>
      </c>
      <c r="J25" s="197"/>
      <c r="K25" s="198" t="str">
        <f t="shared" si="2"/>
        <v/>
      </c>
      <c r="L25" s="197"/>
      <c r="M25" s="198" t="str">
        <f t="shared" si="3"/>
        <v/>
      </c>
      <c r="N25" s="197">
        <v>184</v>
      </c>
      <c r="O25" s="198">
        <f t="shared" si="4"/>
        <v>42.79069767441861</v>
      </c>
      <c r="P25" s="197">
        <v>12459</v>
      </c>
      <c r="Q25" s="198">
        <f t="shared" si="5"/>
        <v>2897.4418604651164</v>
      </c>
      <c r="R25" s="197">
        <v>622</v>
      </c>
      <c r="S25" s="198">
        <f t="shared" si="6"/>
        <v>144.65116279069767</v>
      </c>
      <c r="T25" s="197"/>
      <c r="U25" s="198" t="str">
        <f t="shared" si="7"/>
        <v/>
      </c>
      <c r="V25" s="197"/>
      <c r="W25" s="198" t="str">
        <f t="shared" si="8"/>
        <v/>
      </c>
      <c r="X25" s="197"/>
      <c r="Y25" s="198" t="str">
        <f t="shared" si="9"/>
        <v/>
      </c>
      <c r="Z25" s="197">
        <v>29</v>
      </c>
      <c r="AA25" s="198">
        <f t="shared" si="10"/>
        <v>6.7441860465116283</v>
      </c>
      <c r="AB25" s="197">
        <v>418</v>
      </c>
      <c r="AC25" s="198">
        <f t="shared" si="11"/>
        <v>97.209302325581405</v>
      </c>
      <c r="AD25" s="197">
        <v>1220</v>
      </c>
      <c r="AE25" s="198">
        <f t="shared" si="12"/>
        <v>283.72093023255815</v>
      </c>
      <c r="AF25" s="197"/>
      <c r="AG25" s="198" t="str">
        <f t="shared" si="13"/>
        <v/>
      </c>
      <c r="AH25" s="197"/>
      <c r="AI25" s="198" t="str">
        <f t="shared" si="14"/>
        <v/>
      </c>
      <c r="AJ25" s="197">
        <v>10585</v>
      </c>
      <c r="AK25" s="198">
        <f t="shared" si="15"/>
        <v>2461.6279069767443</v>
      </c>
      <c r="AL25" s="197"/>
      <c r="AM25" s="198" t="str">
        <f t="shared" si="16"/>
        <v/>
      </c>
      <c r="AN25" s="197"/>
      <c r="AO25" s="198" t="str">
        <f t="shared" si="17"/>
        <v/>
      </c>
      <c r="AP25" s="197">
        <v>25997</v>
      </c>
      <c r="AQ25" s="198">
        <f t="shared" si="18"/>
        <v>6045.8139534883721</v>
      </c>
    </row>
    <row r="26" spans="1:43">
      <c r="A26" s="200"/>
      <c r="B26">
        <v>4.2</v>
      </c>
      <c r="D26" s="201">
        <v>6995</v>
      </c>
      <c r="E26" s="198">
        <f t="shared" si="0"/>
        <v>1665.4761904761904</v>
      </c>
      <c r="F26" s="201"/>
      <c r="G26" s="198" t="str">
        <f t="shared" si="0"/>
        <v/>
      </c>
      <c r="H26" s="201"/>
      <c r="I26" s="198" t="str">
        <f t="shared" si="1"/>
        <v/>
      </c>
      <c r="J26" s="201"/>
      <c r="K26" s="198" t="str">
        <f t="shared" si="2"/>
        <v/>
      </c>
      <c r="L26" s="201"/>
      <c r="M26" s="198" t="str">
        <f t="shared" si="3"/>
        <v/>
      </c>
      <c r="N26" s="201"/>
      <c r="O26" s="198" t="str">
        <f t="shared" si="4"/>
        <v/>
      </c>
      <c r="P26" s="201">
        <v>7462</v>
      </c>
      <c r="Q26" s="198">
        <f t="shared" si="5"/>
        <v>1776.6666666666665</v>
      </c>
      <c r="R26" s="201"/>
      <c r="S26" s="198" t="str">
        <f t="shared" si="6"/>
        <v/>
      </c>
      <c r="T26" s="201"/>
      <c r="U26" s="198" t="str">
        <f t="shared" si="7"/>
        <v/>
      </c>
      <c r="V26" s="201"/>
      <c r="W26" s="198" t="str">
        <f t="shared" si="8"/>
        <v/>
      </c>
      <c r="X26" s="201"/>
      <c r="Y26" s="198" t="str">
        <f t="shared" si="9"/>
        <v/>
      </c>
      <c r="Z26" s="201"/>
      <c r="AA26" s="198" t="str">
        <f t="shared" si="10"/>
        <v/>
      </c>
      <c r="AB26" s="201"/>
      <c r="AC26" s="198" t="str">
        <f t="shared" si="11"/>
        <v/>
      </c>
      <c r="AD26" s="201"/>
      <c r="AE26" s="198" t="str">
        <f t="shared" si="12"/>
        <v/>
      </c>
      <c r="AF26" s="201"/>
      <c r="AG26" s="198" t="str">
        <f t="shared" si="13"/>
        <v/>
      </c>
      <c r="AH26" s="201"/>
      <c r="AI26" s="198" t="str">
        <f t="shared" si="14"/>
        <v/>
      </c>
      <c r="AJ26" s="201">
        <v>2165</v>
      </c>
      <c r="AK26" s="198">
        <f t="shared" si="15"/>
        <v>515.47619047619048</v>
      </c>
      <c r="AL26" s="201"/>
      <c r="AM26" s="198" t="str">
        <f t="shared" si="16"/>
        <v/>
      </c>
      <c r="AN26" s="201"/>
      <c r="AO26" s="198" t="str">
        <f t="shared" si="17"/>
        <v/>
      </c>
      <c r="AP26" s="201">
        <v>9627</v>
      </c>
      <c r="AQ26" s="198">
        <f t="shared" si="18"/>
        <v>2292.1428571428569</v>
      </c>
    </row>
    <row r="27" spans="1:43">
      <c r="A27" s="200"/>
      <c r="B27">
        <v>1.2</v>
      </c>
      <c r="D27" s="201"/>
      <c r="E27" s="198" t="str">
        <f t="shared" si="0"/>
        <v/>
      </c>
      <c r="F27" s="201"/>
      <c r="G27" s="198" t="str">
        <f t="shared" si="0"/>
        <v/>
      </c>
      <c r="H27" s="201"/>
      <c r="I27" s="198" t="str">
        <f t="shared" si="1"/>
        <v/>
      </c>
      <c r="J27" s="201"/>
      <c r="K27" s="198" t="str">
        <f t="shared" si="2"/>
        <v/>
      </c>
      <c r="L27" s="201"/>
      <c r="M27" s="198" t="str">
        <f t="shared" si="3"/>
        <v/>
      </c>
      <c r="N27" s="201"/>
      <c r="O27" s="198" t="str">
        <f t="shared" si="4"/>
        <v/>
      </c>
      <c r="P27" s="201">
        <v>2361</v>
      </c>
      <c r="Q27" s="198">
        <f t="shared" si="5"/>
        <v>1967.5</v>
      </c>
      <c r="R27" s="201"/>
      <c r="S27" s="198" t="str">
        <f t="shared" si="6"/>
        <v/>
      </c>
      <c r="T27" s="201"/>
      <c r="U27" s="198" t="str">
        <f t="shared" si="7"/>
        <v/>
      </c>
      <c r="V27" s="201"/>
      <c r="W27" s="198" t="str">
        <f t="shared" si="8"/>
        <v/>
      </c>
      <c r="X27" s="201"/>
      <c r="Y27" s="198" t="str">
        <f t="shared" si="9"/>
        <v/>
      </c>
      <c r="Z27" s="201"/>
      <c r="AA27" s="198" t="str">
        <f t="shared" si="10"/>
        <v/>
      </c>
      <c r="AB27" s="201"/>
      <c r="AC27" s="198" t="str">
        <f t="shared" si="11"/>
        <v/>
      </c>
      <c r="AD27" s="201"/>
      <c r="AE27" s="198" t="str">
        <f t="shared" si="12"/>
        <v/>
      </c>
      <c r="AF27" s="201"/>
      <c r="AG27" s="198" t="str">
        <f t="shared" si="13"/>
        <v/>
      </c>
      <c r="AH27" s="201"/>
      <c r="AI27" s="198" t="str">
        <f t="shared" si="14"/>
        <v/>
      </c>
      <c r="AJ27" s="201">
        <v>962</v>
      </c>
      <c r="AK27" s="198">
        <f t="shared" si="15"/>
        <v>801.66666666666674</v>
      </c>
      <c r="AL27" s="201"/>
      <c r="AM27" s="198" t="str">
        <f t="shared" si="16"/>
        <v/>
      </c>
      <c r="AN27" s="201"/>
      <c r="AO27" s="198" t="str">
        <f t="shared" si="17"/>
        <v/>
      </c>
      <c r="AP27" s="201">
        <v>3323</v>
      </c>
      <c r="AQ27" s="198">
        <f t="shared" si="18"/>
        <v>2769.166666666667</v>
      </c>
    </row>
    <row r="28" spans="1:43">
      <c r="A28" s="200"/>
      <c r="B28">
        <v>0.59</v>
      </c>
      <c r="D28" s="201"/>
      <c r="E28" s="198" t="str">
        <f t="shared" si="0"/>
        <v/>
      </c>
      <c r="F28" s="201"/>
      <c r="G28" s="198" t="str">
        <f t="shared" si="0"/>
        <v/>
      </c>
      <c r="H28" s="201"/>
      <c r="I28" s="198" t="str">
        <f t="shared" si="1"/>
        <v/>
      </c>
      <c r="J28" s="201"/>
      <c r="K28" s="198" t="str">
        <f t="shared" si="2"/>
        <v/>
      </c>
      <c r="L28" s="201"/>
      <c r="M28" s="198" t="str">
        <f t="shared" si="3"/>
        <v/>
      </c>
      <c r="N28" s="201"/>
      <c r="O28" s="198" t="str">
        <f t="shared" si="4"/>
        <v/>
      </c>
      <c r="P28" s="201">
        <v>237</v>
      </c>
      <c r="Q28" s="198">
        <f t="shared" si="5"/>
        <v>401.69491525423729</v>
      </c>
      <c r="R28" s="201"/>
      <c r="S28" s="198" t="str">
        <f t="shared" si="6"/>
        <v/>
      </c>
      <c r="T28" s="201"/>
      <c r="U28" s="198" t="str">
        <f t="shared" si="7"/>
        <v/>
      </c>
      <c r="V28" s="201"/>
      <c r="W28" s="198" t="str">
        <f t="shared" si="8"/>
        <v/>
      </c>
      <c r="X28" s="201"/>
      <c r="Y28" s="198" t="str">
        <f t="shared" si="9"/>
        <v/>
      </c>
      <c r="Z28" s="201"/>
      <c r="AA28" s="198" t="str">
        <f t="shared" si="10"/>
        <v/>
      </c>
      <c r="AB28" s="201"/>
      <c r="AC28" s="198" t="str">
        <f t="shared" si="11"/>
        <v/>
      </c>
      <c r="AD28" s="201"/>
      <c r="AE28" s="198" t="str">
        <f t="shared" si="12"/>
        <v/>
      </c>
      <c r="AF28" s="201"/>
      <c r="AG28" s="198" t="str">
        <f t="shared" si="13"/>
        <v/>
      </c>
      <c r="AH28" s="201"/>
      <c r="AI28" s="198" t="str">
        <f t="shared" si="14"/>
        <v/>
      </c>
      <c r="AJ28" s="201">
        <v>73</v>
      </c>
      <c r="AK28" s="198">
        <f t="shared" si="15"/>
        <v>123.72881355932203</v>
      </c>
      <c r="AL28" s="201"/>
      <c r="AM28" s="198" t="str">
        <f t="shared" si="16"/>
        <v/>
      </c>
      <c r="AN28" s="201"/>
      <c r="AO28" s="198" t="str">
        <f t="shared" si="17"/>
        <v/>
      </c>
      <c r="AP28" s="201">
        <v>310</v>
      </c>
      <c r="AQ28" s="198">
        <f t="shared" si="18"/>
        <v>525.42372881355936</v>
      </c>
    </row>
    <row r="29" spans="1:43">
      <c r="A29" s="200"/>
      <c r="B29">
        <v>0.87</v>
      </c>
      <c r="D29" s="201">
        <v>185</v>
      </c>
      <c r="E29" s="198">
        <f t="shared" si="0"/>
        <v>212.64367816091954</v>
      </c>
      <c r="F29" s="201"/>
      <c r="G29" s="198" t="str">
        <f t="shared" si="0"/>
        <v/>
      </c>
      <c r="H29" s="201"/>
      <c r="I29" s="198" t="str">
        <f t="shared" si="1"/>
        <v/>
      </c>
      <c r="J29" s="201"/>
      <c r="K29" s="198" t="str">
        <f t="shared" si="2"/>
        <v/>
      </c>
      <c r="L29" s="201"/>
      <c r="M29" s="198" t="str">
        <f t="shared" si="3"/>
        <v/>
      </c>
      <c r="N29" s="201"/>
      <c r="O29" s="198" t="str">
        <f t="shared" si="4"/>
        <v/>
      </c>
      <c r="P29" s="201">
        <v>2473</v>
      </c>
      <c r="Q29" s="198">
        <f t="shared" si="5"/>
        <v>2842.5287356321837</v>
      </c>
      <c r="R29" s="201"/>
      <c r="S29" s="198" t="str">
        <f t="shared" si="6"/>
        <v/>
      </c>
      <c r="T29" s="201"/>
      <c r="U29" s="198" t="str">
        <f t="shared" si="7"/>
        <v/>
      </c>
      <c r="V29" s="201"/>
      <c r="W29" s="198" t="str">
        <f t="shared" si="8"/>
        <v/>
      </c>
      <c r="X29" s="201"/>
      <c r="Y29" s="198" t="str">
        <f t="shared" si="9"/>
        <v/>
      </c>
      <c r="Z29" s="201"/>
      <c r="AA29" s="198" t="str">
        <f t="shared" si="10"/>
        <v/>
      </c>
      <c r="AB29" s="201"/>
      <c r="AC29" s="198" t="str">
        <f t="shared" si="11"/>
        <v/>
      </c>
      <c r="AD29" s="201"/>
      <c r="AE29" s="198" t="str">
        <f t="shared" si="12"/>
        <v/>
      </c>
      <c r="AF29" s="201"/>
      <c r="AG29" s="198" t="str">
        <f t="shared" si="13"/>
        <v/>
      </c>
      <c r="AH29" s="201"/>
      <c r="AI29" s="198" t="str">
        <f t="shared" si="14"/>
        <v/>
      </c>
      <c r="AJ29" s="201">
        <v>363</v>
      </c>
      <c r="AK29" s="198">
        <f t="shared" si="15"/>
        <v>417.24137931034483</v>
      </c>
      <c r="AL29" s="201"/>
      <c r="AM29" s="198" t="str">
        <f t="shared" si="16"/>
        <v/>
      </c>
      <c r="AN29" s="201"/>
      <c r="AO29" s="198" t="str">
        <f t="shared" si="17"/>
        <v/>
      </c>
      <c r="AP29" s="201">
        <v>2836</v>
      </c>
      <c r="AQ29" s="198">
        <f t="shared" si="18"/>
        <v>3259.7701149425288</v>
      </c>
    </row>
    <row r="30" spans="1:43">
      <c r="A30" s="200"/>
      <c r="B30">
        <v>0.02</v>
      </c>
      <c r="D30" s="201"/>
      <c r="E30" s="198" t="str">
        <f t="shared" si="0"/>
        <v/>
      </c>
      <c r="F30" s="201"/>
      <c r="G30" s="198" t="str">
        <f t="shared" si="0"/>
        <v/>
      </c>
      <c r="H30" s="201"/>
      <c r="I30" s="198" t="str">
        <f t="shared" si="1"/>
        <v/>
      </c>
      <c r="J30" s="201"/>
      <c r="K30" s="198" t="str">
        <f t="shared" si="2"/>
        <v/>
      </c>
      <c r="L30" s="201"/>
      <c r="M30" s="198" t="str">
        <f t="shared" si="3"/>
        <v/>
      </c>
      <c r="N30" s="201"/>
      <c r="O30" s="198" t="str">
        <f t="shared" si="4"/>
        <v/>
      </c>
      <c r="P30" s="201"/>
      <c r="Q30" s="198" t="str">
        <f t="shared" si="5"/>
        <v/>
      </c>
      <c r="R30" s="201"/>
      <c r="S30" s="198" t="str">
        <f t="shared" si="6"/>
        <v/>
      </c>
      <c r="T30" s="201"/>
      <c r="U30" s="198" t="str">
        <f t="shared" si="7"/>
        <v/>
      </c>
      <c r="V30" s="201"/>
      <c r="W30" s="198" t="str">
        <f t="shared" si="8"/>
        <v/>
      </c>
      <c r="X30" s="201"/>
      <c r="Y30" s="198" t="str">
        <f t="shared" si="9"/>
        <v/>
      </c>
      <c r="Z30" s="201"/>
      <c r="AA30" s="198" t="str">
        <f t="shared" si="10"/>
        <v/>
      </c>
      <c r="AB30" s="201"/>
      <c r="AC30" s="198" t="str">
        <f t="shared" si="11"/>
        <v/>
      </c>
      <c r="AD30" s="201">
        <v>20564</v>
      </c>
      <c r="AE30" s="198">
        <f t="shared" si="12"/>
        <v>1028200</v>
      </c>
      <c r="AF30" s="201"/>
      <c r="AG30" s="198" t="str">
        <f t="shared" si="13"/>
        <v/>
      </c>
      <c r="AH30" s="201"/>
      <c r="AI30" s="198" t="str">
        <f t="shared" si="14"/>
        <v/>
      </c>
      <c r="AJ30" s="201"/>
      <c r="AK30" s="198" t="str">
        <f t="shared" si="15"/>
        <v/>
      </c>
      <c r="AL30" s="201"/>
      <c r="AM30" s="198" t="str">
        <f t="shared" si="16"/>
        <v/>
      </c>
      <c r="AN30" s="201"/>
      <c r="AO30" s="198" t="str">
        <f t="shared" si="17"/>
        <v/>
      </c>
      <c r="AP30" s="201">
        <v>20564</v>
      </c>
      <c r="AQ30" s="198">
        <f t="shared" si="18"/>
        <v>1028200</v>
      </c>
    </row>
    <row r="31" spans="1:43">
      <c r="A31" s="200"/>
      <c r="B31">
        <v>0.2</v>
      </c>
      <c r="D31" s="201">
        <v>785</v>
      </c>
      <c r="E31" s="198">
        <f t="shared" si="0"/>
        <v>3925</v>
      </c>
      <c r="F31" s="201"/>
      <c r="G31" s="198" t="str">
        <f t="shared" si="0"/>
        <v/>
      </c>
      <c r="H31" s="201"/>
      <c r="I31" s="198" t="str">
        <f t="shared" si="1"/>
        <v/>
      </c>
      <c r="J31" s="201"/>
      <c r="K31" s="198" t="str">
        <f t="shared" si="2"/>
        <v/>
      </c>
      <c r="L31" s="201"/>
      <c r="M31" s="198" t="str">
        <f t="shared" si="3"/>
        <v/>
      </c>
      <c r="N31" s="201"/>
      <c r="O31" s="198" t="str">
        <f t="shared" si="4"/>
        <v/>
      </c>
      <c r="P31" s="201">
        <v>4</v>
      </c>
      <c r="Q31" s="198">
        <f t="shared" si="5"/>
        <v>20</v>
      </c>
      <c r="R31" s="201">
        <v>4923</v>
      </c>
      <c r="S31" s="198">
        <f t="shared" si="6"/>
        <v>24615</v>
      </c>
      <c r="T31" s="201"/>
      <c r="U31" s="198" t="str">
        <f t="shared" si="7"/>
        <v/>
      </c>
      <c r="V31" s="201"/>
      <c r="W31" s="198" t="str">
        <f t="shared" si="8"/>
        <v/>
      </c>
      <c r="X31" s="201"/>
      <c r="Y31" s="198" t="str">
        <f t="shared" si="9"/>
        <v/>
      </c>
      <c r="Z31" s="201"/>
      <c r="AA31" s="198" t="str">
        <f t="shared" si="10"/>
        <v/>
      </c>
      <c r="AB31" s="201">
        <v>12369</v>
      </c>
      <c r="AC31" s="198">
        <f t="shared" si="11"/>
        <v>61845</v>
      </c>
      <c r="AD31" s="201"/>
      <c r="AE31" s="198" t="str">
        <f t="shared" si="12"/>
        <v/>
      </c>
      <c r="AF31" s="201"/>
      <c r="AG31" s="198" t="str">
        <f t="shared" si="13"/>
        <v/>
      </c>
      <c r="AH31" s="201"/>
      <c r="AI31" s="198" t="str">
        <f t="shared" si="14"/>
        <v/>
      </c>
      <c r="AJ31" s="201">
        <v>749</v>
      </c>
      <c r="AK31" s="198">
        <f t="shared" si="15"/>
        <v>3745</v>
      </c>
      <c r="AL31" s="201"/>
      <c r="AM31" s="198" t="str">
        <f t="shared" si="16"/>
        <v/>
      </c>
      <c r="AN31" s="201"/>
      <c r="AO31" s="198" t="str">
        <f t="shared" si="17"/>
        <v/>
      </c>
      <c r="AP31" s="201">
        <v>18045</v>
      </c>
      <c r="AQ31" s="198">
        <f t="shared" si="18"/>
        <v>90225</v>
      </c>
    </row>
    <row r="32" spans="1:43">
      <c r="A32" s="190" t="s">
        <v>238</v>
      </c>
      <c r="B32" s="196">
        <v>0.02</v>
      </c>
      <c r="D32" s="197"/>
      <c r="E32" s="198" t="str">
        <f t="shared" si="0"/>
        <v/>
      </c>
      <c r="F32" s="197"/>
      <c r="G32" s="198" t="str">
        <f t="shared" si="0"/>
        <v/>
      </c>
      <c r="H32" s="197"/>
      <c r="I32" s="198" t="str">
        <f t="shared" si="1"/>
        <v/>
      </c>
      <c r="J32" s="197"/>
      <c r="K32" s="198" t="str">
        <f t="shared" si="2"/>
        <v/>
      </c>
      <c r="L32" s="197"/>
      <c r="M32" s="198" t="str">
        <f t="shared" si="3"/>
        <v/>
      </c>
      <c r="N32" s="197"/>
      <c r="O32" s="198" t="str">
        <f t="shared" si="4"/>
        <v/>
      </c>
      <c r="P32" s="197"/>
      <c r="Q32" s="198" t="str">
        <f t="shared" si="5"/>
        <v/>
      </c>
      <c r="R32" s="197"/>
      <c r="S32" s="198" t="str">
        <f t="shared" si="6"/>
        <v/>
      </c>
      <c r="T32" s="197"/>
      <c r="U32" s="198" t="str">
        <f t="shared" si="7"/>
        <v/>
      </c>
      <c r="V32" s="197"/>
      <c r="W32" s="198" t="str">
        <f t="shared" si="8"/>
        <v/>
      </c>
      <c r="X32" s="197"/>
      <c r="Y32" s="198" t="str">
        <f t="shared" si="9"/>
        <v/>
      </c>
      <c r="Z32" s="197"/>
      <c r="AA32" s="198" t="str">
        <f t="shared" si="10"/>
        <v/>
      </c>
      <c r="AB32" s="197"/>
      <c r="AC32" s="198" t="str">
        <f t="shared" si="11"/>
        <v/>
      </c>
      <c r="AD32" s="197"/>
      <c r="AE32" s="198" t="str">
        <f t="shared" si="12"/>
        <v/>
      </c>
      <c r="AF32" s="197"/>
      <c r="AG32" s="198" t="str">
        <f t="shared" si="13"/>
        <v/>
      </c>
      <c r="AH32" s="197"/>
      <c r="AI32" s="198" t="str">
        <f t="shared" si="14"/>
        <v/>
      </c>
      <c r="AJ32" s="197">
        <v>716</v>
      </c>
      <c r="AK32" s="198">
        <f t="shared" si="15"/>
        <v>35800</v>
      </c>
      <c r="AL32" s="197"/>
      <c r="AM32" s="198" t="str">
        <f t="shared" si="16"/>
        <v/>
      </c>
      <c r="AN32" s="197"/>
      <c r="AO32" s="198" t="str">
        <f t="shared" si="17"/>
        <v/>
      </c>
      <c r="AP32" s="197">
        <v>716</v>
      </c>
      <c r="AQ32" s="198">
        <f t="shared" si="18"/>
        <v>35800</v>
      </c>
    </row>
    <row r="33" spans="1:43">
      <c r="A33" s="200"/>
      <c r="D33" s="201">
        <v>317606</v>
      </c>
      <c r="E33" s="198" t="str">
        <f t="shared" si="0"/>
        <v/>
      </c>
      <c r="F33" s="201"/>
      <c r="G33" s="198" t="str">
        <f t="shared" si="0"/>
        <v/>
      </c>
      <c r="H33" s="201"/>
      <c r="I33" s="198" t="str">
        <f t="shared" si="1"/>
        <v/>
      </c>
      <c r="J33" s="201"/>
      <c r="K33" s="198" t="str">
        <f t="shared" si="2"/>
        <v/>
      </c>
      <c r="L33" s="201"/>
      <c r="M33" s="198" t="str">
        <f t="shared" si="3"/>
        <v/>
      </c>
      <c r="N33" s="201">
        <v>2929</v>
      </c>
      <c r="O33" s="198" t="str">
        <f t="shared" si="4"/>
        <v/>
      </c>
      <c r="P33" s="201">
        <v>41</v>
      </c>
      <c r="Q33" s="198" t="str">
        <f t="shared" si="5"/>
        <v/>
      </c>
      <c r="R33" s="201">
        <v>38942</v>
      </c>
      <c r="S33" s="198" t="str">
        <f t="shared" si="6"/>
        <v/>
      </c>
      <c r="T33" s="201">
        <v>1476</v>
      </c>
      <c r="U33" s="198" t="str">
        <f t="shared" si="7"/>
        <v/>
      </c>
      <c r="V33" s="201">
        <v>33883</v>
      </c>
      <c r="W33" s="198" t="str">
        <f t="shared" si="8"/>
        <v/>
      </c>
      <c r="X33" s="201">
        <v>6731</v>
      </c>
      <c r="Y33" s="198" t="str">
        <f t="shared" si="9"/>
        <v/>
      </c>
      <c r="Z33" s="201">
        <v>2346</v>
      </c>
      <c r="AA33" s="198" t="str">
        <f t="shared" si="10"/>
        <v/>
      </c>
      <c r="AB33" s="201"/>
      <c r="AC33" s="198" t="str">
        <f t="shared" si="11"/>
        <v/>
      </c>
      <c r="AD33" s="201"/>
      <c r="AE33" s="198" t="str">
        <f t="shared" si="12"/>
        <v/>
      </c>
      <c r="AF33" s="201"/>
      <c r="AG33" s="198" t="str">
        <f t="shared" si="13"/>
        <v/>
      </c>
      <c r="AH33" s="201"/>
      <c r="AI33" s="198" t="str">
        <f t="shared" si="14"/>
        <v/>
      </c>
      <c r="AJ33" s="201">
        <v>13220</v>
      </c>
      <c r="AK33" s="198" t="str">
        <f t="shared" si="15"/>
        <v/>
      </c>
      <c r="AL33" s="201"/>
      <c r="AM33" s="198" t="str">
        <f t="shared" si="16"/>
        <v/>
      </c>
      <c r="AN33" s="201"/>
      <c r="AO33" s="198" t="str">
        <f t="shared" si="17"/>
        <v/>
      </c>
      <c r="AP33" s="201">
        <v>99568</v>
      </c>
      <c r="AQ33" s="198" t="str">
        <f t="shared" si="18"/>
        <v/>
      </c>
    </row>
    <row r="34" spans="1:43">
      <c r="A34" s="200"/>
      <c r="B34">
        <v>0.04</v>
      </c>
      <c r="D34" s="201"/>
      <c r="E34" s="198" t="str">
        <f t="shared" si="0"/>
        <v/>
      </c>
      <c r="F34" s="201"/>
      <c r="G34" s="198" t="str">
        <f t="shared" si="0"/>
        <v/>
      </c>
      <c r="H34" s="201"/>
      <c r="I34" s="198" t="str">
        <f t="shared" si="1"/>
        <v/>
      </c>
      <c r="J34" s="201"/>
      <c r="K34" s="198" t="str">
        <f t="shared" si="2"/>
        <v/>
      </c>
      <c r="L34" s="201"/>
      <c r="M34" s="198" t="str">
        <f t="shared" si="3"/>
        <v/>
      </c>
      <c r="N34" s="201"/>
      <c r="O34" s="198" t="str">
        <f t="shared" si="4"/>
        <v/>
      </c>
      <c r="P34" s="201"/>
      <c r="Q34" s="198" t="str">
        <f t="shared" si="5"/>
        <v/>
      </c>
      <c r="R34" s="201"/>
      <c r="S34" s="198" t="str">
        <f t="shared" si="6"/>
        <v/>
      </c>
      <c r="T34" s="201"/>
      <c r="U34" s="198" t="str">
        <f t="shared" si="7"/>
        <v/>
      </c>
      <c r="V34" s="201"/>
      <c r="W34" s="198" t="str">
        <f t="shared" si="8"/>
        <v/>
      </c>
      <c r="X34" s="201"/>
      <c r="Y34" s="198" t="str">
        <f t="shared" si="9"/>
        <v/>
      </c>
      <c r="Z34" s="201"/>
      <c r="AA34" s="198" t="str">
        <f t="shared" si="10"/>
        <v/>
      </c>
      <c r="AB34" s="201"/>
      <c r="AC34" s="198" t="str">
        <f t="shared" si="11"/>
        <v/>
      </c>
      <c r="AD34" s="201"/>
      <c r="AE34" s="198" t="str">
        <f t="shared" si="12"/>
        <v/>
      </c>
      <c r="AF34" s="201"/>
      <c r="AG34" s="198" t="str">
        <f t="shared" si="13"/>
        <v/>
      </c>
      <c r="AH34" s="201"/>
      <c r="AI34" s="198" t="str">
        <f t="shared" si="14"/>
        <v/>
      </c>
      <c r="AJ34" s="201"/>
      <c r="AK34" s="198" t="str">
        <f t="shared" si="15"/>
        <v/>
      </c>
      <c r="AL34" s="201"/>
      <c r="AM34" s="198" t="str">
        <f t="shared" si="16"/>
        <v/>
      </c>
      <c r="AN34" s="201"/>
      <c r="AO34" s="198" t="str">
        <f t="shared" si="17"/>
        <v/>
      </c>
      <c r="AP34" s="201"/>
      <c r="AQ34" s="198" t="str">
        <f t="shared" si="18"/>
        <v/>
      </c>
    </row>
    <row r="35" spans="1:43">
      <c r="A35" s="190" t="s">
        <v>239</v>
      </c>
      <c r="B35" s="196">
        <v>0.79</v>
      </c>
      <c r="D35" s="197">
        <v>17184</v>
      </c>
      <c r="E35" s="198">
        <f t="shared" si="0"/>
        <v>21751.898734177215</v>
      </c>
      <c r="F35" s="197"/>
      <c r="G35" s="198" t="str">
        <f t="shared" si="0"/>
        <v/>
      </c>
      <c r="H35" s="197"/>
      <c r="I35" s="198" t="str">
        <f t="shared" si="1"/>
        <v/>
      </c>
      <c r="J35" s="197"/>
      <c r="K35" s="198" t="str">
        <f t="shared" si="2"/>
        <v/>
      </c>
      <c r="L35" s="197"/>
      <c r="M35" s="198" t="str">
        <f t="shared" si="3"/>
        <v/>
      </c>
      <c r="N35" s="197">
        <v>46</v>
      </c>
      <c r="O35" s="198">
        <f t="shared" si="4"/>
        <v>58.22784810126582</v>
      </c>
      <c r="P35" s="197">
        <v>986</v>
      </c>
      <c r="Q35" s="198">
        <f t="shared" si="5"/>
        <v>1248.1012658227849</v>
      </c>
      <c r="R35" s="197">
        <v>4556</v>
      </c>
      <c r="S35" s="198">
        <f t="shared" si="6"/>
        <v>5767.0886075949365</v>
      </c>
      <c r="T35" s="197"/>
      <c r="U35" s="198" t="str">
        <f t="shared" si="7"/>
        <v/>
      </c>
      <c r="V35" s="197"/>
      <c r="W35" s="198" t="str">
        <f t="shared" si="8"/>
        <v/>
      </c>
      <c r="X35" s="197"/>
      <c r="Y35" s="198" t="str">
        <f t="shared" si="9"/>
        <v/>
      </c>
      <c r="Z35" s="197">
        <v>25</v>
      </c>
      <c r="AA35" s="198">
        <f t="shared" si="10"/>
        <v>31.645569620253163</v>
      </c>
      <c r="AB35" s="197"/>
      <c r="AC35" s="198" t="str">
        <f t="shared" si="11"/>
        <v/>
      </c>
      <c r="AD35" s="197"/>
      <c r="AE35" s="198" t="str">
        <f t="shared" si="12"/>
        <v/>
      </c>
      <c r="AF35" s="197"/>
      <c r="AG35" s="198" t="str">
        <f t="shared" si="13"/>
        <v/>
      </c>
      <c r="AH35" s="197"/>
      <c r="AI35" s="198" t="str">
        <f t="shared" si="14"/>
        <v/>
      </c>
      <c r="AJ35" s="197">
        <v>594</v>
      </c>
      <c r="AK35" s="198">
        <f t="shared" si="15"/>
        <v>751.89873417721515</v>
      </c>
      <c r="AL35" s="197"/>
      <c r="AM35" s="198" t="str">
        <f t="shared" si="16"/>
        <v/>
      </c>
      <c r="AN35" s="197"/>
      <c r="AO35" s="198" t="str">
        <f t="shared" si="17"/>
        <v/>
      </c>
      <c r="AP35" s="197">
        <v>6207</v>
      </c>
      <c r="AQ35" s="198">
        <f t="shared" si="18"/>
        <v>7856.9620253164558</v>
      </c>
    </row>
    <row r="36" spans="1:43">
      <c r="A36" s="200"/>
      <c r="B36">
        <v>2.94</v>
      </c>
      <c r="D36" s="201">
        <v>454</v>
      </c>
      <c r="E36" s="198">
        <f t="shared" si="0"/>
        <v>154.42176870748298</v>
      </c>
      <c r="F36" s="201"/>
      <c r="G36" s="198" t="str">
        <f t="shared" si="0"/>
        <v/>
      </c>
      <c r="H36" s="201"/>
      <c r="I36" s="198" t="str">
        <f t="shared" si="1"/>
        <v/>
      </c>
      <c r="J36" s="201"/>
      <c r="K36" s="198" t="str">
        <f t="shared" si="2"/>
        <v/>
      </c>
      <c r="L36" s="201"/>
      <c r="M36" s="198" t="str">
        <f t="shared" si="3"/>
        <v/>
      </c>
      <c r="N36" s="201">
        <v>2</v>
      </c>
      <c r="O36" s="198">
        <f t="shared" si="4"/>
        <v>0.68027210884353739</v>
      </c>
      <c r="P36" s="201">
        <v>2122</v>
      </c>
      <c r="Q36" s="198">
        <f t="shared" si="5"/>
        <v>721.76870748299325</v>
      </c>
      <c r="R36" s="201">
        <v>186</v>
      </c>
      <c r="S36" s="198">
        <f t="shared" si="6"/>
        <v>63.265306122448983</v>
      </c>
      <c r="T36" s="201"/>
      <c r="U36" s="198" t="str">
        <f t="shared" si="7"/>
        <v/>
      </c>
      <c r="V36" s="201">
        <v>165</v>
      </c>
      <c r="W36" s="198">
        <f t="shared" si="8"/>
        <v>56.122448979591837</v>
      </c>
      <c r="X36" s="201"/>
      <c r="Y36" s="198" t="str">
        <f t="shared" si="9"/>
        <v/>
      </c>
      <c r="Z36" s="201">
        <v>48</v>
      </c>
      <c r="AA36" s="198">
        <f t="shared" si="10"/>
        <v>16.326530612244898</v>
      </c>
      <c r="AB36" s="201"/>
      <c r="AC36" s="198" t="str">
        <f t="shared" si="11"/>
        <v/>
      </c>
      <c r="AD36" s="201"/>
      <c r="AE36" s="198" t="str">
        <f t="shared" si="12"/>
        <v/>
      </c>
      <c r="AF36" s="201"/>
      <c r="AG36" s="198" t="str">
        <f t="shared" si="13"/>
        <v/>
      </c>
      <c r="AH36" s="201"/>
      <c r="AI36" s="198" t="str">
        <f t="shared" si="14"/>
        <v/>
      </c>
      <c r="AJ36" s="201">
        <v>323</v>
      </c>
      <c r="AK36" s="198">
        <f t="shared" si="15"/>
        <v>109.8639455782313</v>
      </c>
      <c r="AL36" s="201"/>
      <c r="AM36" s="198" t="str">
        <f t="shared" si="16"/>
        <v/>
      </c>
      <c r="AN36" s="201"/>
      <c r="AO36" s="198" t="str">
        <f t="shared" si="17"/>
        <v/>
      </c>
      <c r="AP36" s="201">
        <v>2846</v>
      </c>
      <c r="AQ36" s="198">
        <f t="shared" si="18"/>
        <v>968.02721088435374</v>
      </c>
    </row>
    <row r="37" spans="1:43">
      <c r="A37" s="200"/>
      <c r="B37">
        <v>0.83</v>
      </c>
      <c r="D37" s="201">
        <v>8050</v>
      </c>
      <c r="E37" s="198">
        <f t="shared" si="0"/>
        <v>9698.7951807228928</v>
      </c>
      <c r="F37" s="201">
        <v>139</v>
      </c>
      <c r="G37" s="198">
        <f t="shared" si="0"/>
        <v>167.4698795180723</v>
      </c>
      <c r="H37" s="201"/>
      <c r="I37" s="198" t="str">
        <f t="shared" si="1"/>
        <v/>
      </c>
      <c r="J37" s="201"/>
      <c r="K37" s="198" t="str">
        <f t="shared" si="2"/>
        <v/>
      </c>
      <c r="L37" s="201"/>
      <c r="M37" s="198" t="str">
        <f t="shared" si="3"/>
        <v/>
      </c>
      <c r="N37" s="201">
        <v>315</v>
      </c>
      <c r="O37" s="198">
        <f t="shared" si="4"/>
        <v>379.51807228915663</v>
      </c>
      <c r="P37" s="201">
        <v>968</v>
      </c>
      <c r="Q37" s="198">
        <f t="shared" si="5"/>
        <v>1166.265060240964</v>
      </c>
      <c r="R37" s="201">
        <v>771</v>
      </c>
      <c r="S37" s="198">
        <f t="shared" si="6"/>
        <v>928.91566265060248</v>
      </c>
      <c r="T37" s="201"/>
      <c r="U37" s="198" t="str">
        <f t="shared" si="7"/>
        <v/>
      </c>
      <c r="V37" s="201"/>
      <c r="W37" s="198" t="str">
        <f t="shared" si="8"/>
        <v/>
      </c>
      <c r="X37" s="201"/>
      <c r="Y37" s="198" t="str">
        <f t="shared" si="9"/>
        <v/>
      </c>
      <c r="Z37" s="201">
        <v>14</v>
      </c>
      <c r="AA37" s="198">
        <f t="shared" si="10"/>
        <v>16.867469879518072</v>
      </c>
      <c r="AB37" s="201"/>
      <c r="AC37" s="198" t="str">
        <f t="shared" si="11"/>
        <v/>
      </c>
      <c r="AD37" s="201"/>
      <c r="AE37" s="198" t="str">
        <f t="shared" si="12"/>
        <v/>
      </c>
      <c r="AF37" s="201"/>
      <c r="AG37" s="198" t="str">
        <f t="shared" si="13"/>
        <v/>
      </c>
      <c r="AH37" s="201"/>
      <c r="AI37" s="198" t="str">
        <f t="shared" si="14"/>
        <v/>
      </c>
      <c r="AJ37" s="201">
        <v>778</v>
      </c>
      <c r="AK37" s="198">
        <f t="shared" si="15"/>
        <v>937.34939759036149</v>
      </c>
      <c r="AL37" s="201"/>
      <c r="AM37" s="198" t="str">
        <f t="shared" si="16"/>
        <v/>
      </c>
      <c r="AN37" s="201"/>
      <c r="AO37" s="198" t="str">
        <f t="shared" si="17"/>
        <v/>
      </c>
      <c r="AP37" s="201">
        <v>2985</v>
      </c>
      <c r="AQ37" s="198">
        <f t="shared" si="18"/>
        <v>3596.3855421686749</v>
      </c>
    </row>
    <row r="38" spans="1:43">
      <c r="A38" s="190" t="s">
        <v>240</v>
      </c>
      <c r="B38" s="196">
        <v>1.71</v>
      </c>
      <c r="D38" s="197">
        <v>24351</v>
      </c>
      <c r="E38" s="198">
        <f t="shared" si="0"/>
        <v>14240.350877192983</v>
      </c>
      <c r="F38" s="197">
        <v>1</v>
      </c>
      <c r="G38" s="198">
        <f t="shared" si="0"/>
        <v>0.58479532163742687</v>
      </c>
      <c r="H38" s="197"/>
      <c r="I38" s="198" t="str">
        <f t="shared" si="1"/>
        <v/>
      </c>
      <c r="J38" s="197"/>
      <c r="K38" s="198" t="str">
        <f t="shared" si="2"/>
        <v/>
      </c>
      <c r="L38" s="197"/>
      <c r="M38" s="198" t="str">
        <f t="shared" si="3"/>
        <v/>
      </c>
      <c r="N38" s="197"/>
      <c r="O38" s="198" t="str">
        <f t="shared" si="4"/>
        <v/>
      </c>
      <c r="P38" s="197">
        <v>576</v>
      </c>
      <c r="Q38" s="198">
        <f t="shared" si="5"/>
        <v>336.84210526315792</v>
      </c>
      <c r="R38" s="197">
        <v>6258</v>
      </c>
      <c r="S38" s="198">
        <f t="shared" si="6"/>
        <v>3659.6491228070176</v>
      </c>
      <c r="T38" s="197"/>
      <c r="U38" s="198" t="str">
        <f t="shared" si="7"/>
        <v/>
      </c>
      <c r="V38" s="197"/>
      <c r="W38" s="198" t="str">
        <f t="shared" si="8"/>
        <v/>
      </c>
      <c r="X38" s="197"/>
      <c r="Y38" s="198" t="str">
        <f t="shared" si="9"/>
        <v/>
      </c>
      <c r="Z38" s="197">
        <v>154</v>
      </c>
      <c r="AA38" s="198">
        <f t="shared" si="10"/>
        <v>90.058479532163744</v>
      </c>
      <c r="AB38" s="197"/>
      <c r="AC38" s="198" t="str">
        <f t="shared" si="11"/>
        <v/>
      </c>
      <c r="AD38" s="197"/>
      <c r="AE38" s="198" t="str">
        <f t="shared" si="12"/>
        <v/>
      </c>
      <c r="AF38" s="197"/>
      <c r="AG38" s="198" t="str">
        <f t="shared" si="13"/>
        <v/>
      </c>
      <c r="AH38" s="197"/>
      <c r="AI38" s="198" t="str">
        <f t="shared" si="14"/>
        <v/>
      </c>
      <c r="AJ38" s="197">
        <v>1993</v>
      </c>
      <c r="AK38" s="198">
        <f t="shared" si="15"/>
        <v>1165.4970760233919</v>
      </c>
      <c r="AL38" s="197"/>
      <c r="AM38" s="198" t="str">
        <f t="shared" si="16"/>
        <v/>
      </c>
      <c r="AN38" s="197"/>
      <c r="AO38" s="198" t="str">
        <f t="shared" si="17"/>
        <v/>
      </c>
      <c r="AP38" s="197">
        <v>8982</v>
      </c>
      <c r="AQ38" s="198">
        <f t="shared" si="18"/>
        <v>5252.6315789473683</v>
      </c>
    </row>
    <row r="39" spans="1:43">
      <c r="A39" s="200"/>
      <c r="B39">
        <v>3.81</v>
      </c>
      <c r="D39" s="201">
        <v>6399</v>
      </c>
      <c r="E39" s="198">
        <f t="shared" si="0"/>
        <v>1679.527559055118</v>
      </c>
      <c r="F39" s="201"/>
      <c r="G39" s="198" t="str">
        <f t="shared" si="0"/>
        <v/>
      </c>
      <c r="H39" s="201"/>
      <c r="I39" s="198" t="str">
        <f t="shared" si="1"/>
        <v/>
      </c>
      <c r="J39" s="201"/>
      <c r="K39" s="198" t="str">
        <f t="shared" si="2"/>
        <v/>
      </c>
      <c r="L39" s="201"/>
      <c r="M39" s="198" t="str">
        <f t="shared" si="3"/>
        <v/>
      </c>
      <c r="N39" s="201">
        <v>410</v>
      </c>
      <c r="O39" s="198">
        <f t="shared" si="4"/>
        <v>107.61154855643045</v>
      </c>
      <c r="P39" s="201">
        <v>11421</v>
      </c>
      <c r="Q39" s="198">
        <f t="shared" si="5"/>
        <v>2997.6377952755906</v>
      </c>
      <c r="R39" s="201">
        <v>50</v>
      </c>
      <c r="S39" s="198">
        <f t="shared" si="6"/>
        <v>13.123359580052494</v>
      </c>
      <c r="T39" s="201"/>
      <c r="U39" s="198" t="str">
        <f t="shared" si="7"/>
        <v/>
      </c>
      <c r="V39" s="201"/>
      <c r="W39" s="198" t="str">
        <f t="shared" si="8"/>
        <v/>
      </c>
      <c r="X39" s="201"/>
      <c r="Y39" s="198" t="str">
        <f t="shared" si="9"/>
        <v/>
      </c>
      <c r="Z39" s="201">
        <v>1031</v>
      </c>
      <c r="AA39" s="198">
        <f t="shared" si="10"/>
        <v>270.60367454068239</v>
      </c>
      <c r="AB39" s="201"/>
      <c r="AC39" s="198" t="str">
        <f t="shared" si="11"/>
        <v/>
      </c>
      <c r="AD39" s="201"/>
      <c r="AE39" s="198" t="str">
        <f t="shared" si="12"/>
        <v/>
      </c>
      <c r="AF39" s="201"/>
      <c r="AG39" s="198" t="str">
        <f t="shared" si="13"/>
        <v/>
      </c>
      <c r="AH39" s="201"/>
      <c r="AI39" s="198" t="str">
        <f t="shared" si="14"/>
        <v/>
      </c>
      <c r="AJ39" s="201">
        <v>1260</v>
      </c>
      <c r="AK39" s="198">
        <f t="shared" si="15"/>
        <v>330.70866141732284</v>
      </c>
      <c r="AL39" s="201"/>
      <c r="AM39" s="198" t="str">
        <f t="shared" si="16"/>
        <v/>
      </c>
      <c r="AN39" s="201"/>
      <c r="AO39" s="198" t="str">
        <f t="shared" si="17"/>
        <v/>
      </c>
      <c r="AP39" s="201">
        <v>14172</v>
      </c>
      <c r="AQ39" s="198">
        <f t="shared" si="18"/>
        <v>3719.6850393700788</v>
      </c>
    </row>
    <row r="40" spans="1:43">
      <c r="A40" s="200"/>
      <c r="B40">
        <v>0.04</v>
      </c>
      <c r="D40" s="201"/>
      <c r="E40" s="198" t="str">
        <f t="shared" si="0"/>
        <v/>
      </c>
      <c r="F40" s="201"/>
      <c r="G40" s="198" t="str">
        <f t="shared" si="0"/>
        <v/>
      </c>
      <c r="H40" s="201"/>
      <c r="I40" s="198" t="str">
        <f t="shared" si="1"/>
        <v/>
      </c>
      <c r="J40" s="201"/>
      <c r="K40" s="198" t="str">
        <f t="shared" si="2"/>
        <v/>
      </c>
      <c r="L40" s="201"/>
      <c r="M40" s="198" t="str">
        <f t="shared" si="3"/>
        <v/>
      </c>
      <c r="N40" s="201"/>
      <c r="O40" s="198" t="str">
        <f t="shared" si="4"/>
        <v/>
      </c>
      <c r="P40" s="201"/>
      <c r="Q40" s="198" t="str">
        <f t="shared" si="5"/>
        <v/>
      </c>
      <c r="R40" s="201"/>
      <c r="S40" s="198" t="str">
        <f t="shared" si="6"/>
        <v/>
      </c>
      <c r="T40" s="201"/>
      <c r="U40" s="198" t="str">
        <f t="shared" si="7"/>
        <v/>
      </c>
      <c r="V40" s="201"/>
      <c r="W40" s="198" t="str">
        <f t="shared" si="8"/>
        <v/>
      </c>
      <c r="X40" s="201"/>
      <c r="Y40" s="198" t="str">
        <f t="shared" si="9"/>
        <v/>
      </c>
      <c r="Z40" s="201"/>
      <c r="AA40" s="198" t="str">
        <f t="shared" si="10"/>
        <v/>
      </c>
      <c r="AB40" s="201"/>
      <c r="AC40" s="198" t="str">
        <f t="shared" si="11"/>
        <v/>
      </c>
      <c r="AD40" s="201"/>
      <c r="AE40" s="198" t="str">
        <f t="shared" si="12"/>
        <v/>
      </c>
      <c r="AF40" s="201"/>
      <c r="AG40" s="198" t="str">
        <f t="shared" si="13"/>
        <v/>
      </c>
      <c r="AH40" s="201"/>
      <c r="AI40" s="198" t="str">
        <f t="shared" si="14"/>
        <v/>
      </c>
      <c r="AJ40" s="201"/>
      <c r="AK40" s="198" t="str">
        <f t="shared" si="15"/>
        <v/>
      </c>
      <c r="AL40" s="201"/>
      <c r="AM40" s="198" t="str">
        <f t="shared" si="16"/>
        <v/>
      </c>
      <c r="AN40" s="201"/>
      <c r="AO40" s="198" t="str">
        <f t="shared" si="17"/>
        <v/>
      </c>
      <c r="AP40" s="201"/>
      <c r="AQ40" s="198" t="str">
        <f t="shared" si="18"/>
        <v/>
      </c>
    </row>
    <row r="41" spans="1:43">
      <c r="A41" s="190" t="s">
        <v>241</v>
      </c>
      <c r="B41" s="196">
        <v>1.5</v>
      </c>
      <c r="D41" s="197">
        <v>12804</v>
      </c>
      <c r="E41" s="198">
        <f t="shared" si="0"/>
        <v>8536</v>
      </c>
      <c r="F41" s="197"/>
      <c r="G41" s="198" t="str">
        <f t="shared" si="0"/>
        <v/>
      </c>
      <c r="H41" s="197"/>
      <c r="I41" s="198" t="str">
        <f t="shared" si="1"/>
        <v/>
      </c>
      <c r="J41" s="197"/>
      <c r="K41" s="198" t="str">
        <f t="shared" si="2"/>
        <v/>
      </c>
      <c r="L41" s="197"/>
      <c r="M41" s="198" t="str">
        <f t="shared" si="3"/>
        <v/>
      </c>
      <c r="N41" s="197">
        <v>319</v>
      </c>
      <c r="O41" s="198">
        <f t="shared" si="4"/>
        <v>212.66666666666666</v>
      </c>
      <c r="P41" s="197">
        <v>3233</v>
      </c>
      <c r="Q41" s="198">
        <f t="shared" si="5"/>
        <v>2155.3333333333335</v>
      </c>
      <c r="R41" s="197">
        <v>43</v>
      </c>
      <c r="S41" s="198">
        <f t="shared" si="6"/>
        <v>28.666666666666668</v>
      </c>
      <c r="T41" s="197"/>
      <c r="U41" s="198" t="str">
        <f t="shared" si="7"/>
        <v/>
      </c>
      <c r="V41" s="197">
        <v>469</v>
      </c>
      <c r="W41" s="198">
        <f t="shared" si="8"/>
        <v>312.66666666666669</v>
      </c>
      <c r="X41" s="197"/>
      <c r="Y41" s="198" t="str">
        <f t="shared" si="9"/>
        <v/>
      </c>
      <c r="Z41" s="197"/>
      <c r="AA41" s="198" t="str">
        <f t="shared" si="10"/>
        <v/>
      </c>
      <c r="AB41" s="197"/>
      <c r="AC41" s="198" t="str">
        <f t="shared" si="11"/>
        <v/>
      </c>
      <c r="AD41" s="197"/>
      <c r="AE41" s="198" t="str">
        <f t="shared" si="12"/>
        <v/>
      </c>
      <c r="AF41" s="197"/>
      <c r="AG41" s="198" t="str">
        <f t="shared" si="13"/>
        <v/>
      </c>
      <c r="AH41" s="197"/>
      <c r="AI41" s="198" t="str">
        <f t="shared" si="14"/>
        <v/>
      </c>
      <c r="AJ41" s="197">
        <v>256</v>
      </c>
      <c r="AK41" s="198">
        <f t="shared" si="15"/>
        <v>170.66666666666666</v>
      </c>
      <c r="AL41" s="197"/>
      <c r="AM41" s="198" t="str">
        <f t="shared" si="16"/>
        <v/>
      </c>
      <c r="AN41" s="197"/>
      <c r="AO41" s="198" t="str">
        <f t="shared" si="17"/>
        <v/>
      </c>
      <c r="AP41" s="197">
        <v>4320</v>
      </c>
      <c r="AQ41" s="198">
        <f t="shared" si="18"/>
        <v>2880</v>
      </c>
    </row>
    <row r="42" spans="1:43">
      <c r="A42" s="200"/>
      <c r="B42">
        <v>0.5</v>
      </c>
      <c r="D42" s="201"/>
      <c r="E42" s="198" t="str">
        <f t="shared" si="0"/>
        <v/>
      </c>
      <c r="F42" s="201"/>
      <c r="G42" s="198" t="str">
        <f t="shared" si="0"/>
        <v/>
      </c>
      <c r="H42" s="201"/>
      <c r="I42" s="198" t="str">
        <f t="shared" si="1"/>
        <v/>
      </c>
      <c r="J42" s="201"/>
      <c r="K42" s="198" t="str">
        <f t="shared" si="2"/>
        <v/>
      </c>
      <c r="L42" s="201"/>
      <c r="M42" s="198" t="str">
        <f t="shared" si="3"/>
        <v/>
      </c>
      <c r="N42" s="201"/>
      <c r="O42" s="198" t="str">
        <f t="shared" si="4"/>
        <v/>
      </c>
      <c r="P42" s="201">
        <v>274</v>
      </c>
      <c r="Q42" s="198">
        <f t="shared" si="5"/>
        <v>548</v>
      </c>
      <c r="R42" s="201"/>
      <c r="S42" s="198" t="str">
        <f t="shared" si="6"/>
        <v/>
      </c>
      <c r="T42" s="201"/>
      <c r="U42" s="198" t="str">
        <f t="shared" si="7"/>
        <v/>
      </c>
      <c r="V42" s="201"/>
      <c r="W42" s="198" t="str">
        <f t="shared" si="8"/>
        <v/>
      </c>
      <c r="X42" s="201"/>
      <c r="Y42" s="198" t="str">
        <f t="shared" si="9"/>
        <v/>
      </c>
      <c r="Z42" s="201"/>
      <c r="AA42" s="198" t="str">
        <f t="shared" si="10"/>
        <v/>
      </c>
      <c r="AB42" s="201"/>
      <c r="AC42" s="198" t="str">
        <f t="shared" si="11"/>
        <v/>
      </c>
      <c r="AD42" s="201"/>
      <c r="AE42" s="198" t="str">
        <f t="shared" si="12"/>
        <v/>
      </c>
      <c r="AF42" s="201"/>
      <c r="AG42" s="198" t="str">
        <f t="shared" si="13"/>
        <v/>
      </c>
      <c r="AH42" s="201"/>
      <c r="AI42" s="198" t="str">
        <f t="shared" si="14"/>
        <v/>
      </c>
      <c r="AJ42" s="201"/>
      <c r="AK42" s="198" t="str">
        <f t="shared" si="15"/>
        <v/>
      </c>
      <c r="AL42" s="201"/>
      <c r="AM42" s="198" t="str">
        <f t="shared" si="16"/>
        <v/>
      </c>
      <c r="AN42" s="201"/>
      <c r="AO42" s="198" t="str">
        <f t="shared" si="17"/>
        <v/>
      </c>
      <c r="AP42" s="201">
        <v>274</v>
      </c>
      <c r="AQ42" s="198">
        <f t="shared" si="18"/>
        <v>548</v>
      </c>
    </row>
    <row r="43" spans="1:43">
      <c r="A43" s="200"/>
      <c r="D43" s="201">
        <v>38</v>
      </c>
      <c r="E43" s="198" t="str">
        <f t="shared" si="0"/>
        <v/>
      </c>
      <c r="F43" s="201"/>
      <c r="G43" s="198" t="str">
        <f t="shared" si="0"/>
        <v/>
      </c>
      <c r="H43" s="201"/>
      <c r="I43" s="198" t="str">
        <f t="shared" si="1"/>
        <v/>
      </c>
      <c r="J43" s="201"/>
      <c r="K43" s="198" t="str">
        <f t="shared" si="2"/>
        <v/>
      </c>
      <c r="L43" s="201"/>
      <c r="M43" s="198" t="str">
        <f t="shared" si="3"/>
        <v/>
      </c>
      <c r="N43" s="201">
        <v>21</v>
      </c>
      <c r="O43" s="198" t="str">
        <f t="shared" si="4"/>
        <v/>
      </c>
      <c r="P43" s="201">
        <v>5264</v>
      </c>
      <c r="Q43" s="198" t="str">
        <f t="shared" si="5"/>
        <v/>
      </c>
      <c r="R43" s="201">
        <v>118</v>
      </c>
      <c r="S43" s="198" t="str">
        <f t="shared" si="6"/>
        <v/>
      </c>
      <c r="T43" s="201"/>
      <c r="U43" s="198" t="str">
        <f t="shared" si="7"/>
        <v/>
      </c>
      <c r="V43" s="201"/>
      <c r="W43" s="198" t="str">
        <f t="shared" si="8"/>
        <v/>
      </c>
      <c r="X43" s="201"/>
      <c r="Y43" s="198" t="str">
        <f t="shared" si="9"/>
        <v/>
      </c>
      <c r="Z43" s="201"/>
      <c r="AA43" s="198" t="str">
        <f t="shared" si="10"/>
        <v/>
      </c>
      <c r="AB43" s="201"/>
      <c r="AC43" s="198" t="str">
        <f t="shared" si="11"/>
        <v/>
      </c>
      <c r="AD43" s="201"/>
      <c r="AE43" s="198" t="str">
        <f t="shared" si="12"/>
        <v/>
      </c>
      <c r="AF43" s="201"/>
      <c r="AG43" s="198" t="str">
        <f t="shared" si="13"/>
        <v/>
      </c>
      <c r="AH43" s="201"/>
      <c r="AI43" s="198" t="str">
        <f t="shared" si="14"/>
        <v/>
      </c>
      <c r="AJ43" s="201">
        <v>11</v>
      </c>
      <c r="AK43" s="198" t="str">
        <f t="shared" si="15"/>
        <v/>
      </c>
      <c r="AL43" s="201"/>
      <c r="AM43" s="198" t="str">
        <f t="shared" si="16"/>
        <v/>
      </c>
      <c r="AN43" s="201"/>
      <c r="AO43" s="198" t="str">
        <f t="shared" si="17"/>
        <v/>
      </c>
      <c r="AP43" s="201">
        <v>5414</v>
      </c>
      <c r="AQ43" s="198" t="str">
        <f t="shared" si="18"/>
        <v/>
      </c>
    </row>
    <row r="44" spans="1:43">
      <c r="A44" s="190" t="s">
        <v>242</v>
      </c>
      <c r="B44" s="196">
        <v>1.67</v>
      </c>
      <c r="D44" s="197">
        <v>6847</v>
      </c>
      <c r="E44" s="198">
        <f t="shared" si="0"/>
        <v>4100</v>
      </c>
      <c r="F44" s="197"/>
      <c r="G44" s="198" t="str">
        <f t="shared" si="0"/>
        <v/>
      </c>
      <c r="H44" s="197"/>
      <c r="I44" s="198" t="str">
        <f t="shared" si="1"/>
        <v/>
      </c>
      <c r="J44" s="197"/>
      <c r="K44" s="198" t="str">
        <f t="shared" si="2"/>
        <v/>
      </c>
      <c r="L44" s="197"/>
      <c r="M44" s="198" t="str">
        <f t="shared" si="3"/>
        <v/>
      </c>
      <c r="N44" s="197"/>
      <c r="O44" s="198" t="str">
        <f t="shared" si="4"/>
        <v/>
      </c>
      <c r="P44" s="197">
        <v>2926</v>
      </c>
      <c r="Q44" s="198">
        <f t="shared" si="5"/>
        <v>1752.0958083832336</v>
      </c>
      <c r="R44" s="197">
        <v>2054</v>
      </c>
      <c r="S44" s="198">
        <f t="shared" si="6"/>
        <v>1229.9401197604791</v>
      </c>
      <c r="T44" s="197"/>
      <c r="U44" s="198" t="str">
        <f t="shared" si="7"/>
        <v/>
      </c>
      <c r="V44" s="197">
        <v>720</v>
      </c>
      <c r="W44" s="198">
        <f t="shared" si="8"/>
        <v>431.13772455089821</v>
      </c>
      <c r="X44" s="197"/>
      <c r="Y44" s="198" t="str">
        <f t="shared" si="9"/>
        <v/>
      </c>
      <c r="Z44" s="197"/>
      <c r="AA44" s="198" t="str">
        <f t="shared" si="10"/>
        <v/>
      </c>
      <c r="AB44" s="197">
        <v>8248</v>
      </c>
      <c r="AC44" s="198">
        <f t="shared" si="11"/>
        <v>4938.9221556886232</v>
      </c>
      <c r="AD44" s="197"/>
      <c r="AE44" s="198" t="str">
        <f t="shared" si="12"/>
        <v/>
      </c>
      <c r="AF44" s="197"/>
      <c r="AG44" s="198" t="str">
        <f t="shared" si="13"/>
        <v/>
      </c>
      <c r="AH44" s="197"/>
      <c r="AI44" s="198" t="str">
        <f t="shared" si="14"/>
        <v/>
      </c>
      <c r="AJ44" s="197">
        <v>7074</v>
      </c>
      <c r="AK44" s="198">
        <f t="shared" si="15"/>
        <v>4235.9281437125746</v>
      </c>
      <c r="AL44" s="197"/>
      <c r="AM44" s="198" t="str">
        <f t="shared" si="16"/>
        <v/>
      </c>
      <c r="AN44" s="197">
        <v>424</v>
      </c>
      <c r="AO44" s="198">
        <f t="shared" si="17"/>
        <v>253.8922155688623</v>
      </c>
      <c r="AP44" s="197">
        <v>21446</v>
      </c>
      <c r="AQ44" s="198">
        <f t="shared" si="18"/>
        <v>12841.916167664671</v>
      </c>
    </row>
    <row r="45" spans="1:43">
      <c r="A45" s="190" t="s">
        <v>243</v>
      </c>
      <c r="B45" s="196"/>
      <c r="D45" s="197"/>
      <c r="E45" s="198" t="str">
        <f t="shared" si="0"/>
        <v/>
      </c>
      <c r="F45" s="197"/>
      <c r="G45" s="198" t="str">
        <f t="shared" si="0"/>
        <v/>
      </c>
      <c r="H45" s="197"/>
      <c r="I45" s="198" t="str">
        <f t="shared" si="1"/>
        <v/>
      </c>
      <c r="J45" s="197"/>
      <c r="K45" s="198" t="str">
        <f t="shared" si="2"/>
        <v/>
      </c>
      <c r="L45" s="197"/>
      <c r="M45" s="198" t="str">
        <f t="shared" si="3"/>
        <v/>
      </c>
      <c r="N45" s="197"/>
      <c r="O45" s="198" t="str">
        <f t="shared" si="4"/>
        <v/>
      </c>
      <c r="P45" s="197"/>
      <c r="Q45" s="198" t="str">
        <f t="shared" si="5"/>
        <v/>
      </c>
      <c r="R45" s="197"/>
      <c r="S45" s="198" t="str">
        <f t="shared" si="6"/>
        <v/>
      </c>
      <c r="T45" s="197"/>
      <c r="U45" s="198" t="str">
        <f t="shared" si="7"/>
        <v/>
      </c>
      <c r="V45" s="197"/>
      <c r="W45" s="198" t="str">
        <f t="shared" si="8"/>
        <v/>
      </c>
      <c r="X45" s="197"/>
      <c r="Y45" s="198" t="str">
        <f t="shared" si="9"/>
        <v/>
      </c>
      <c r="Z45" s="197"/>
      <c r="AA45" s="198" t="str">
        <f t="shared" si="10"/>
        <v/>
      </c>
      <c r="AB45" s="197"/>
      <c r="AC45" s="198" t="str">
        <f t="shared" si="11"/>
        <v/>
      </c>
      <c r="AD45" s="197"/>
      <c r="AE45" s="198" t="str">
        <f t="shared" si="12"/>
        <v/>
      </c>
      <c r="AF45" s="197"/>
      <c r="AG45" s="198" t="str">
        <f t="shared" si="13"/>
        <v/>
      </c>
      <c r="AH45" s="197"/>
      <c r="AI45" s="198" t="str">
        <f t="shared" si="14"/>
        <v/>
      </c>
      <c r="AJ45" s="197"/>
      <c r="AK45" s="198" t="str">
        <f t="shared" si="15"/>
        <v/>
      </c>
      <c r="AL45" s="197"/>
      <c r="AM45" s="198" t="str">
        <f t="shared" si="16"/>
        <v/>
      </c>
      <c r="AN45" s="197"/>
      <c r="AO45" s="198" t="str">
        <f t="shared" si="17"/>
        <v/>
      </c>
      <c r="AP45" s="197"/>
      <c r="AQ45" s="198" t="str">
        <f t="shared" si="18"/>
        <v/>
      </c>
    </row>
    <row r="46" spans="1:43">
      <c r="A46" s="200"/>
      <c r="B46">
        <v>1.84</v>
      </c>
      <c r="D46" s="201">
        <v>272.44</v>
      </c>
      <c r="E46" s="198">
        <f t="shared" si="0"/>
        <v>148.06521739130434</v>
      </c>
      <c r="F46" s="201"/>
      <c r="G46" s="198" t="str">
        <f t="shared" si="0"/>
        <v/>
      </c>
      <c r="H46" s="201"/>
      <c r="I46" s="198" t="str">
        <f t="shared" si="1"/>
        <v/>
      </c>
      <c r="J46" s="201"/>
      <c r="K46" s="198" t="str">
        <f t="shared" si="2"/>
        <v/>
      </c>
      <c r="L46" s="201"/>
      <c r="M46" s="198" t="str">
        <f t="shared" si="3"/>
        <v/>
      </c>
      <c r="N46" s="201"/>
      <c r="O46" s="198" t="str">
        <f t="shared" si="4"/>
        <v/>
      </c>
      <c r="P46" s="201">
        <v>3409</v>
      </c>
      <c r="Q46" s="198">
        <f t="shared" si="5"/>
        <v>1852.7173913043478</v>
      </c>
      <c r="R46" s="201"/>
      <c r="S46" s="198" t="str">
        <f t="shared" si="6"/>
        <v/>
      </c>
      <c r="T46" s="201"/>
      <c r="U46" s="198" t="str">
        <f t="shared" si="7"/>
        <v/>
      </c>
      <c r="V46" s="201"/>
      <c r="W46" s="198" t="str">
        <f t="shared" si="8"/>
        <v/>
      </c>
      <c r="X46" s="201"/>
      <c r="Y46" s="198" t="str">
        <f t="shared" si="9"/>
        <v/>
      </c>
      <c r="Z46" s="201"/>
      <c r="AA46" s="198" t="str">
        <f t="shared" si="10"/>
        <v/>
      </c>
      <c r="AB46" s="201"/>
      <c r="AC46" s="198" t="str">
        <f t="shared" si="11"/>
        <v/>
      </c>
      <c r="AD46" s="201">
        <v>200</v>
      </c>
      <c r="AE46" s="198">
        <f t="shared" si="12"/>
        <v>108.69565217391303</v>
      </c>
      <c r="AF46" s="201"/>
      <c r="AG46" s="198" t="str">
        <f t="shared" si="13"/>
        <v/>
      </c>
      <c r="AH46" s="201"/>
      <c r="AI46" s="198" t="str">
        <f t="shared" si="14"/>
        <v/>
      </c>
      <c r="AJ46" s="201"/>
      <c r="AK46" s="198" t="str">
        <f t="shared" si="15"/>
        <v/>
      </c>
      <c r="AL46" s="201"/>
      <c r="AM46" s="198" t="str">
        <f t="shared" si="16"/>
        <v/>
      </c>
      <c r="AN46" s="201"/>
      <c r="AO46" s="198" t="str">
        <f t="shared" si="17"/>
        <v/>
      </c>
      <c r="AP46" s="201">
        <v>3609</v>
      </c>
      <c r="AQ46" s="198">
        <f t="shared" si="18"/>
        <v>1961.4130434782608</v>
      </c>
    </row>
    <row r="47" spans="1:43">
      <c r="A47" s="200"/>
      <c r="D47" s="201"/>
      <c r="E47" s="198" t="str">
        <f t="shared" si="0"/>
        <v/>
      </c>
      <c r="F47" s="201"/>
      <c r="G47" s="198" t="str">
        <f t="shared" si="0"/>
        <v/>
      </c>
      <c r="H47" s="201"/>
      <c r="I47" s="198" t="str">
        <f t="shared" si="1"/>
        <v/>
      </c>
      <c r="J47" s="201"/>
      <c r="K47" s="198" t="str">
        <f t="shared" si="2"/>
        <v/>
      </c>
      <c r="L47" s="201"/>
      <c r="M47" s="198" t="str">
        <f t="shared" si="3"/>
        <v/>
      </c>
      <c r="N47" s="201"/>
      <c r="O47" s="198" t="str">
        <f t="shared" si="4"/>
        <v/>
      </c>
      <c r="P47" s="201"/>
      <c r="Q47" s="198" t="str">
        <f t="shared" si="5"/>
        <v/>
      </c>
      <c r="R47" s="201"/>
      <c r="S47" s="198" t="str">
        <f t="shared" si="6"/>
        <v/>
      </c>
      <c r="T47" s="201"/>
      <c r="U47" s="198" t="str">
        <f t="shared" si="7"/>
        <v/>
      </c>
      <c r="V47" s="201"/>
      <c r="W47" s="198" t="str">
        <f t="shared" si="8"/>
        <v/>
      </c>
      <c r="X47" s="201"/>
      <c r="Y47" s="198" t="str">
        <f t="shared" si="9"/>
        <v/>
      </c>
      <c r="Z47" s="201"/>
      <c r="AA47" s="198" t="str">
        <f t="shared" si="10"/>
        <v/>
      </c>
      <c r="AB47" s="201"/>
      <c r="AC47" s="198" t="str">
        <f t="shared" si="11"/>
        <v/>
      </c>
      <c r="AD47" s="201"/>
      <c r="AE47" s="198" t="str">
        <f t="shared" si="12"/>
        <v/>
      </c>
      <c r="AF47" s="201"/>
      <c r="AG47" s="198" t="str">
        <f t="shared" si="13"/>
        <v/>
      </c>
      <c r="AH47" s="201"/>
      <c r="AI47" s="198" t="str">
        <f t="shared" si="14"/>
        <v/>
      </c>
      <c r="AJ47" s="201"/>
      <c r="AK47" s="198" t="str">
        <f t="shared" si="15"/>
        <v/>
      </c>
      <c r="AL47" s="201"/>
      <c r="AM47" s="198" t="str">
        <f t="shared" si="16"/>
        <v/>
      </c>
      <c r="AN47" s="201"/>
      <c r="AO47" s="198" t="str">
        <f t="shared" si="17"/>
        <v/>
      </c>
      <c r="AP47" s="201"/>
      <c r="AQ47" s="198" t="str">
        <f t="shared" si="18"/>
        <v/>
      </c>
    </row>
    <row r="48" spans="1:43">
      <c r="A48" s="200"/>
      <c r="D48" s="201"/>
      <c r="E48" s="198" t="str">
        <f t="shared" si="0"/>
        <v/>
      </c>
      <c r="F48" s="201"/>
      <c r="G48" s="198" t="str">
        <f t="shared" si="0"/>
        <v/>
      </c>
      <c r="H48" s="201"/>
      <c r="I48" s="198" t="str">
        <f t="shared" si="1"/>
        <v/>
      </c>
      <c r="J48" s="201"/>
      <c r="K48" s="198" t="str">
        <f t="shared" si="2"/>
        <v/>
      </c>
      <c r="L48" s="201"/>
      <c r="M48" s="198" t="str">
        <f t="shared" si="3"/>
        <v/>
      </c>
      <c r="N48" s="201"/>
      <c r="O48" s="198" t="str">
        <f t="shared" si="4"/>
        <v/>
      </c>
      <c r="P48" s="201"/>
      <c r="Q48" s="198" t="str">
        <f t="shared" si="5"/>
        <v/>
      </c>
      <c r="R48" s="201"/>
      <c r="S48" s="198" t="str">
        <f t="shared" si="6"/>
        <v/>
      </c>
      <c r="T48" s="201"/>
      <c r="U48" s="198" t="str">
        <f t="shared" si="7"/>
        <v/>
      </c>
      <c r="V48" s="201"/>
      <c r="W48" s="198" t="str">
        <f t="shared" si="8"/>
        <v/>
      </c>
      <c r="X48" s="201"/>
      <c r="Y48" s="198" t="str">
        <f t="shared" si="9"/>
        <v/>
      </c>
      <c r="Z48" s="201"/>
      <c r="AA48" s="198" t="str">
        <f t="shared" si="10"/>
        <v/>
      </c>
      <c r="AB48" s="201"/>
      <c r="AC48" s="198" t="str">
        <f t="shared" si="11"/>
        <v/>
      </c>
      <c r="AD48" s="201"/>
      <c r="AE48" s="198" t="str">
        <f t="shared" si="12"/>
        <v/>
      </c>
      <c r="AF48" s="201"/>
      <c r="AG48" s="198" t="str">
        <f t="shared" si="13"/>
        <v/>
      </c>
      <c r="AH48" s="201"/>
      <c r="AI48" s="198" t="str">
        <f t="shared" si="14"/>
        <v/>
      </c>
      <c r="AJ48" s="201"/>
      <c r="AK48" s="198" t="str">
        <f t="shared" si="15"/>
        <v/>
      </c>
      <c r="AL48" s="201"/>
      <c r="AM48" s="198" t="str">
        <f t="shared" si="16"/>
        <v/>
      </c>
      <c r="AN48" s="201"/>
      <c r="AO48" s="198" t="str">
        <f t="shared" si="17"/>
        <v/>
      </c>
      <c r="AP48" s="201"/>
      <c r="AQ48" s="198" t="str">
        <f t="shared" si="18"/>
        <v/>
      </c>
    </row>
    <row r="49" spans="1:43">
      <c r="A49" s="200"/>
      <c r="B49">
        <v>1.22</v>
      </c>
      <c r="D49" s="201">
        <v>3087.55</v>
      </c>
      <c r="E49" s="198">
        <f t="shared" si="0"/>
        <v>2530.7786885245905</v>
      </c>
      <c r="F49" s="201"/>
      <c r="G49" s="198" t="str">
        <f t="shared" si="0"/>
        <v/>
      </c>
      <c r="H49" s="201"/>
      <c r="I49" s="198" t="str">
        <f t="shared" si="1"/>
        <v/>
      </c>
      <c r="J49" s="201"/>
      <c r="K49" s="198" t="str">
        <f t="shared" si="2"/>
        <v/>
      </c>
      <c r="L49" s="201"/>
      <c r="M49" s="198" t="str">
        <f t="shared" si="3"/>
        <v/>
      </c>
      <c r="N49" s="201"/>
      <c r="O49" s="198" t="str">
        <f t="shared" si="4"/>
        <v/>
      </c>
      <c r="P49" s="201">
        <v>567.5</v>
      </c>
      <c r="Q49" s="198">
        <f t="shared" si="5"/>
        <v>465.1639344262295</v>
      </c>
      <c r="R49" s="201"/>
      <c r="S49" s="198" t="str">
        <f t="shared" si="6"/>
        <v/>
      </c>
      <c r="T49" s="201"/>
      <c r="U49" s="198" t="str">
        <f t="shared" si="7"/>
        <v/>
      </c>
      <c r="V49" s="201"/>
      <c r="W49" s="198" t="str">
        <f t="shared" si="8"/>
        <v/>
      </c>
      <c r="X49" s="201"/>
      <c r="Y49" s="198" t="str">
        <f t="shared" si="9"/>
        <v/>
      </c>
      <c r="Z49" s="201"/>
      <c r="AA49" s="198" t="str">
        <f t="shared" si="10"/>
        <v/>
      </c>
      <c r="AB49" s="201"/>
      <c r="AC49" s="198" t="str">
        <f t="shared" si="11"/>
        <v/>
      </c>
      <c r="AD49" s="201"/>
      <c r="AE49" s="198" t="str">
        <f t="shared" si="12"/>
        <v/>
      </c>
      <c r="AF49" s="201"/>
      <c r="AG49" s="198" t="str">
        <f t="shared" si="13"/>
        <v/>
      </c>
      <c r="AH49" s="201"/>
      <c r="AI49" s="198" t="str">
        <f t="shared" si="14"/>
        <v/>
      </c>
      <c r="AJ49" s="201"/>
      <c r="AK49" s="198" t="str">
        <f t="shared" si="15"/>
        <v/>
      </c>
      <c r="AL49" s="201"/>
      <c r="AM49" s="198" t="str">
        <f t="shared" si="16"/>
        <v/>
      </c>
      <c r="AN49" s="201"/>
      <c r="AO49" s="198" t="str">
        <f t="shared" si="17"/>
        <v/>
      </c>
      <c r="AP49" s="201">
        <v>567.5</v>
      </c>
      <c r="AQ49" s="198">
        <f t="shared" si="18"/>
        <v>465.1639344262295</v>
      </c>
    </row>
    <row r="50" spans="1:43">
      <c r="A50" s="200"/>
      <c r="D50" s="201"/>
      <c r="E50" s="198" t="str">
        <f t="shared" si="0"/>
        <v/>
      </c>
      <c r="F50" s="201"/>
      <c r="G50" s="198" t="str">
        <f t="shared" si="0"/>
        <v/>
      </c>
      <c r="H50" s="201"/>
      <c r="I50" s="198" t="str">
        <f t="shared" si="1"/>
        <v/>
      </c>
      <c r="J50" s="201"/>
      <c r="K50" s="198" t="str">
        <f t="shared" si="2"/>
        <v/>
      </c>
      <c r="L50" s="201"/>
      <c r="M50" s="198" t="str">
        <f t="shared" si="3"/>
        <v/>
      </c>
      <c r="N50" s="201"/>
      <c r="O50" s="198" t="str">
        <f t="shared" si="4"/>
        <v/>
      </c>
      <c r="P50" s="201"/>
      <c r="Q50" s="198" t="str">
        <f t="shared" si="5"/>
        <v/>
      </c>
      <c r="R50" s="201"/>
      <c r="S50" s="198" t="str">
        <f t="shared" si="6"/>
        <v/>
      </c>
      <c r="T50" s="201"/>
      <c r="U50" s="198" t="str">
        <f t="shared" si="7"/>
        <v/>
      </c>
      <c r="V50" s="201"/>
      <c r="W50" s="198" t="str">
        <f t="shared" si="8"/>
        <v/>
      </c>
      <c r="X50" s="201"/>
      <c r="Y50" s="198" t="str">
        <f t="shared" si="9"/>
        <v/>
      </c>
      <c r="Z50" s="201"/>
      <c r="AA50" s="198" t="str">
        <f t="shared" si="10"/>
        <v/>
      </c>
      <c r="AB50" s="201"/>
      <c r="AC50" s="198" t="str">
        <f t="shared" si="11"/>
        <v/>
      </c>
      <c r="AD50" s="201"/>
      <c r="AE50" s="198" t="str">
        <f t="shared" si="12"/>
        <v/>
      </c>
      <c r="AF50" s="201"/>
      <c r="AG50" s="198" t="str">
        <f t="shared" si="13"/>
        <v/>
      </c>
      <c r="AH50" s="201"/>
      <c r="AI50" s="198" t="str">
        <f t="shared" si="14"/>
        <v/>
      </c>
      <c r="AJ50" s="201"/>
      <c r="AK50" s="198" t="str">
        <f t="shared" si="15"/>
        <v/>
      </c>
      <c r="AL50" s="201"/>
      <c r="AM50" s="198" t="str">
        <f t="shared" si="16"/>
        <v/>
      </c>
      <c r="AN50" s="201"/>
      <c r="AO50" s="198" t="str">
        <f t="shared" si="17"/>
        <v/>
      </c>
      <c r="AP50" s="201"/>
      <c r="AQ50" s="198" t="str">
        <f t="shared" si="18"/>
        <v/>
      </c>
    </row>
    <row r="51" spans="1:43">
      <c r="A51" s="200"/>
      <c r="D51" s="201"/>
      <c r="E51" s="198" t="str">
        <f t="shared" si="0"/>
        <v/>
      </c>
      <c r="F51" s="201"/>
      <c r="G51" s="198" t="str">
        <f t="shared" si="0"/>
        <v/>
      </c>
      <c r="H51" s="201"/>
      <c r="I51" s="198" t="str">
        <f t="shared" si="1"/>
        <v/>
      </c>
      <c r="J51" s="201"/>
      <c r="K51" s="198" t="str">
        <f t="shared" si="2"/>
        <v/>
      </c>
      <c r="L51" s="201"/>
      <c r="M51" s="198" t="str">
        <f t="shared" si="3"/>
        <v/>
      </c>
      <c r="N51" s="201"/>
      <c r="O51" s="198" t="str">
        <f t="shared" si="4"/>
        <v/>
      </c>
      <c r="P51" s="201"/>
      <c r="Q51" s="198" t="str">
        <f t="shared" si="5"/>
        <v/>
      </c>
      <c r="R51" s="201"/>
      <c r="S51" s="198" t="str">
        <f t="shared" si="6"/>
        <v/>
      </c>
      <c r="T51" s="201"/>
      <c r="U51" s="198" t="str">
        <f t="shared" si="7"/>
        <v/>
      </c>
      <c r="V51" s="201"/>
      <c r="W51" s="198" t="str">
        <f t="shared" si="8"/>
        <v/>
      </c>
      <c r="X51" s="201"/>
      <c r="Y51" s="198" t="str">
        <f t="shared" si="9"/>
        <v/>
      </c>
      <c r="Z51" s="201"/>
      <c r="AA51" s="198" t="str">
        <f t="shared" si="10"/>
        <v/>
      </c>
      <c r="AB51" s="201"/>
      <c r="AC51" s="198" t="str">
        <f t="shared" si="11"/>
        <v/>
      </c>
      <c r="AD51" s="201"/>
      <c r="AE51" s="198" t="str">
        <f t="shared" si="12"/>
        <v/>
      </c>
      <c r="AF51" s="201"/>
      <c r="AG51" s="198" t="str">
        <f t="shared" si="13"/>
        <v/>
      </c>
      <c r="AH51" s="201"/>
      <c r="AI51" s="198" t="str">
        <f t="shared" si="14"/>
        <v/>
      </c>
      <c r="AJ51" s="201"/>
      <c r="AK51" s="198" t="str">
        <f t="shared" si="15"/>
        <v/>
      </c>
      <c r="AL51" s="201"/>
      <c r="AM51" s="198" t="str">
        <f t="shared" si="16"/>
        <v/>
      </c>
      <c r="AN51" s="201"/>
      <c r="AO51" s="198" t="str">
        <f t="shared" si="17"/>
        <v/>
      </c>
      <c r="AP51" s="201"/>
      <c r="AQ51" s="198" t="str">
        <f t="shared" si="18"/>
        <v/>
      </c>
    </row>
    <row r="52" spans="1:43">
      <c r="A52" s="190" t="s">
        <v>244</v>
      </c>
      <c r="B52" s="196">
        <v>6</v>
      </c>
      <c r="D52" s="197"/>
      <c r="E52" s="198" t="str">
        <f t="shared" si="0"/>
        <v/>
      </c>
      <c r="F52" s="197">
        <v>199988</v>
      </c>
      <c r="G52" s="198">
        <f t="shared" si="0"/>
        <v>33331.333333333336</v>
      </c>
      <c r="H52" s="197"/>
      <c r="I52" s="198" t="str">
        <f t="shared" si="1"/>
        <v/>
      </c>
      <c r="J52" s="197"/>
      <c r="K52" s="198" t="str">
        <f t="shared" si="2"/>
        <v/>
      </c>
      <c r="L52" s="197"/>
      <c r="M52" s="198" t="str">
        <f t="shared" si="3"/>
        <v/>
      </c>
      <c r="N52" s="197"/>
      <c r="O52" s="198" t="str">
        <f t="shared" si="4"/>
        <v/>
      </c>
      <c r="P52" s="197">
        <v>6980</v>
      </c>
      <c r="Q52" s="198">
        <f t="shared" si="5"/>
        <v>1163.3333333333333</v>
      </c>
      <c r="R52" s="197">
        <v>1684</v>
      </c>
      <c r="S52" s="198">
        <f t="shared" si="6"/>
        <v>280.66666666666669</v>
      </c>
      <c r="T52" s="197"/>
      <c r="U52" s="198" t="str">
        <f t="shared" si="7"/>
        <v/>
      </c>
      <c r="V52" s="197">
        <v>768</v>
      </c>
      <c r="W52" s="198">
        <f t="shared" si="8"/>
        <v>128</v>
      </c>
      <c r="X52" s="197"/>
      <c r="Y52" s="198" t="str">
        <f t="shared" si="9"/>
        <v/>
      </c>
      <c r="Z52" s="197"/>
      <c r="AA52" s="198" t="str">
        <f t="shared" si="10"/>
        <v/>
      </c>
      <c r="AB52" s="197"/>
      <c r="AC52" s="198" t="str">
        <f t="shared" si="11"/>
        <v/>
      </c>
      <c r="AD52" s="197"/>
      <c r="AE52" s="198" t="str">
        <f t="shared" si="12"/>
        <v/>
      </c>
      <c r="AF52" s="197"/>
      <c r="AG52" s="198" t="str">
        <f t="shared" si="13"/>
        <v/>
      </c>
      <c r="AH52" s="197"/>
      <c r="AI52" s="198" t="str">
        <f t="shared" si="14"/>
        <v/>
      </c>
      <c r="AJ52" s="197">
        <v>970</v>
      </c>
      <c r="AK52" s="198">
        <f t="shared" si="15"/>
        <v>161.66666666666666</v>
      </c>
      <c r="AL52" s="197"/>
      <c r="AM52" s="198" t="str">
        <f t="shared" si="16"/>
        <v/>
      </c>
      <c r="AN52" s="197">
        <v>1736</v>
      </c>
      <c r="AO52" s="198">
        <f t="shared" si="17"/>
        <v>289.33333333333331</v>
      </c>
      <c r="AP52" s="197">
        <v>212126</v>
      </c>
      <c r="AQ52" s="198">
        <f t="shared" si="18"/>
        <v>35354.333333333336</v>
      </c>
    </row>
    <row r="53" spans="1:43">
      <c r="A53" s="190" t="s">
        <v>245</v>
      </c>
      <c r="B53" s="196">
        <v>13.26</v>
      </c>
      <c r="D53" s="197">
        <v>37826</v>
      </c>
      <c r="E53" s="198">
        <f t="shared" si="0"/>
        <v>2852.6395173453998</v>
      </c>
      <c r="F53" s="197"/>
      <c r="G53" s="198" t="str">
        <f t="shared" si="0"/>
        <v/>
      </c>
      <c r="H53" s="197"/>
      <c r="I53" s="198" t="str">
        <f t="shared" si="1"/>
        <v/>
      </c>
      <c r="J53" s="197"/>
      <c r="K53" s="198" t="str">
        <f t="shared" si="2"/>
        <v/>
      </c>
      <c r="L53" s="197"/>
      <c r="M53" s="198" t="str">
        <f t="shared" si="3"/>
        <v/>
      </c>
      <c r="N53" s="197">
        <v>692</v>
      </c>
      <c r="O53" s="198">
        <f t="shared" si="4"/>
        <v>52.187028657616892</v>
      </c>
      <c r="P53" s="197">
        <v>1925</v>
      </c>
      <c r="Q53" s="198">
        <f t="shared" si="5"/>
        <v>145.1734539969834</v>
      </c>
      <c r="R53" s="197">
        <v>1000</v>
      </c>
      <c r="S53" s="198">
        <f t="shared" si="6"/>
        <v>75.41478129713424</v>
      </c>
      <c r="T53" s="197"/>
      <c r="U53" s="198" t="str">
        <f t="shared" si="7"/>
        <v/>
      </c>
      <c r="V53" s="197"/>
      <c r="W53" s="198" t="str">
        <f t="shared" si="8"/>
        <v/>
      </c>
      <c r="X53" s="197"/>
      <c r="Y53" s="198" t="str">
        <f t="shared" si="9"/>
        <v/>
      </c>
      <c r="Z53" s="197">
        <v>652</v>
      </c>
      <c r="AA53" s="198">
        <f t="shared" si="10"/>
        <v>49.170437405731526</v>
      </c>
      <c r="AB53" s="197"/>
      <c r="AC53" s="198" t="str">
        <f t="shared" si="11"/>
        <v/>
      </c>
      <c r="AD53" s="197">
        <v>2210</v>
      </c>
      <c r="AE53" s="198">
        <f t="shared" si="12"/>
        <v>166.66666666666666</v>
      </c>
      <c r="AF53" s="197"/>
      <c r="AG53" s="198" t="str">
        <f t="shared" si="13"/>
        <v/>
      </c>
      <c r="AH53" s="197"/>
      <c r="AI53" s="198" t="str">
        <f t="shared" si="14"/>
        <v/>
      </c>
      <c r="AJ53" s="197">
        <v>376</v>
      </c>
      <c r="AK53" s="198">
        <f t="shared" si="15"/>
        <v>28.355957767722472</v>
      </c>
      <c r="AL53" s="197"/>
      <c r="AM53" s="198" t="str">
        <f t="shared" si="16"/>
        <v/>
      </c>
      <c r="AN53" s="197"/>
      <c r="AO53" s="198" t="str">
        <f t="shared" si="17"/>
        <v/>
      </c>
      <c r="AP53" s="197">
        <v>6855</v>
      </c>
      <c r="AQ53" s="198">
        <f t="shared" si="18"/>
        <v>516.96832579185525</v>
      </c>
    </row>
    <row r="54" spans="1:43">
      <c r="A54" s="200"/>
      <c r="D54" s="201"/>
      <c r="E54" s="198" t="str">
        <f t="shared" si="0"/>
        <v/>
      </c>
      <c r="F54" s="201"/>
      <c r="G54" s="198" t="str">
        <f t="shared" si="0"/>
        <v/>
      </c>
      <c r="H54" s="201"/>
      <c r="I54" s="198" t="str">
        <f t="shared" si="1"/>
        <v/>
      </c>
      <c r="J54" s="201"/>
      <c r="K54" s="198" t="str">
        <f t="shared" si="2"/>
        <v/>
      </c>
      <c r="L54" s="201"/>
      <c r="M54" s="198" t="str">
        <f t="shared" si="3"/>
        <v/>
      </c>
      <c r="N54" s="201"/>
      <c r="O54" s="198" t="str">
        <f t="shared" si="4"/>
        <v/>
      </c>
      <c r="P54" s="201"/>
      <c r="Q54" s="198" t="str">
        <f t="shared" si="5"/>
        <v/>
      </c>
      <c r="R54" s="201"/>
      <c r="S54" s="198" t="str">
        <f t="shared" si="6"/>
        <v/>
      </c>
      <c r="T54" s="201"/>
      <c r="U54" s="198" t="str">
        <f t="shared" si="7"/>
        <v/>
      </c>
      <c r="V54" s="201"/>
      <c r="W54" s="198" t="str">
        <f t="shared" si="8"/>
        <v/>
      </c>
      <c r="X54" s="201"/>
      <c r="Y54" s="198" t="str">
        <f t="shared" si="9"/>
        <v/>
      </c>
      <c r="Z54" s="201"/>
      <c r="AA54" s="198" t="str">
        <f t="shared" si="10"/>
        <v/>
      </c>
      <c r="AB54" s="201"/>
      <c r="AC54" s="198" t="str">
        <f t="shared" si="11"/>
        <v/>
      </c>
      <c r="AD54" s="201">
        <v>834406</v>
      </c>
      <c r="AE54" s="198" t="str">
        <f t="shared" si="12"/>
        <v/>
      </c>
      <c r="AF54" s="201"/>
      <c r="AG54" s="198" t="str">
        <f t="shared" si="13"/>
        <v/>
      </c>
      <c r="AH54" s="201"/>
      <c r="AI54" s="198" t="str">
        <f t="shared" si="14"/>
        <v/>
      </c>
      <c r="AJ54" s="201"/>
      <c r="AK54" s="198" t="str">
        <f t="shared" si="15"/>
        <v/>
      </c>
      <c r="AL54" s="201"/>
      <c r="AM54" s="198" t="str">
        <f t="shared" si="16"/>
        <v/>
      </c>
      <c r="AN54" s="201"/>
      <c r="AO54" s="198" t="str">
        <f t="shared" si="17"/>
        <v/>
      </c>
      <c r="AP54" s="201">
        <v>834406</v>
      </c>
      <c r="AQ54" s="198" t="str">
        <f t="shared" si="18"/>
        <v/>
      </c>
    </row>
    <row r="55" spans="1:43">
      <c r="A55" s="190" t="s">
        <v>246</v>
      </c>
      <c r="B55" s="196">
        <v>0.03</v>
      </c>
      <c r="D55" s="197">
        <v>355</v>
      </c>
      <c r="E55" s="198">
        <f t="shared" si="0"/>
        <v>11833.333333333334</v>
      </c>
      <c r="F55" s="197">
        <v>9866</v>
      </c>
      <c r="G55" s="198">
        <f t="shared" si="0"/>
        <v>328866.66666666669</v>
      </c>
      <c r="H55" s="197"/>
      <c r="I55" s="198" t="str">
        <f t="shared" si="1"/>
        <v/>
      </c>
      <c r="J55" s="197"/>
      <c r="K55" s="198" t="str">
        <f t="shared" si="2"/>
        <v/>
      </c>
      <c r="L55" s="197"/>
      <c r="M55" s="198" t="str">
        <f t="shared" si="3"/>
        <v/>
      </c>
      <c r="N55" s="197"/>
      <c r="O55" s="198" t="str">
        <f t="shared" si="4"/>
        <v/>
      </c>
      <c r="P55" s="197"/>
      <c r="Q55" s="198" t="str">
        <f t="shared" si="5"/>
        <v/>
      </c>
      <c r="R55" s="197"/>
      <c r="S55" s="198" t="str">
        <f t="shared" si="6"/>
        <v/>
      </c>
      <c r="T55" s="197"/>
      <c r="U55" s="198" t="str">
        <f t="shared" si="7"/>
        <v/>
      </c>
      <c r="V55" s="197"/>
      <c r="W55" s="198" t="str">
        <f t="shared" si="8"/>
        <v/>
      </c>
      <c r="X55" s="197"/>
      <c r="Y55" s="198" t="str">
        <f t="shared" si="9"/>
        <v/>
      </c>
      <c r="Z55" s="197"/>
      <c r="AA55" s="198" t="str">
        <f t="shared" si="10"/>
        <v/>
      </c>
      <c r="AB55" s="197"/>
      <c r="AC55" s="198" t="str">
        <f t="shared" si="11"/>
        <v/>
      </c>
      <c r="AD55" s="197"/>
      <c r="AE55" s="198" t="str">
        <f t="shared" si="12"/>
        <v/>
      </c>
      <c r="AF55" s="197"/>
      <c r="AG55" s="198" t="str">
        <f t="shared" si="13"/>
        <v/>
      </c>
      <c r="AH55" s="197"/>
      <c r="AI55" s="198" t="str">
        <f t="shared" si="14"/>
        <v/>
      </c>
      <c r="AJ55" s="197"/>
      <c r="AK55" s="198" t="str">
        <f t="shared" si="15"/>
        <v/>
      </c>
      <c r="AL55" s="197"/>
      <c r="AM55" s="198" t="str">
        <f t="shared" si="16"/>
        <v/>
      </c>
      <c r="AN55" s="197"/>
      <c r="AO55" s="198" t="str">
        <f t="shared" si="17"/>
        <v/>
      </c>
      <c r="AP55" s="197">
        <v>9866</v>
      </c>
      <c r="AQ55" s="198">
        <f t="shared" si="18"/>
        <v>328866.66666666669</v>
      </c>
    </row>
    <row r="56" spans="1:43">
      <c r="A56" s="200"/>
      <c r="D56" s="201"/>
      <c r="E56" s="198" t="str">
        <f t="shared" si="0"/>
        <v/>
      </c>
      <c r="F56" s="201"/>
      <c r="G56" s="198" t="str">
        <f t="shared" si="0"/>
        <v/>
      </c>
      <c r="H56" s="201"/>
      <c r="I56" s="198" t="str">
        <f t="shared" si="1"/>
        <v/>
      </c>
      <c r="J56" s="201"/>
      <c r="K56" s="198" t="str">
        <f t="shared" si="2"/>
        <v/>
      </c>
      <c r="L56" s="201"/>
      <c r="M56" s="198" t="str">
        <f t="shared" si="3"/>
        <v/>
      </c>
      <c r="N56" s="201"/>
      <c r="O56" s="198" t="str">
        <f t="shared" si="4"/>
        <v/>
      </c>
      <c r="P56" s="201"/>
      <c r="Q56" s="198" t="str">
        <f t="shared" si="5"/>
        <v/>
      </c>
      <c r="R56" s="201"/>
      <c r="S56" s="198" t="str">
        <f t="shared" si="6"/>
        <v/>
      </c>
      <c r="T56" s="201"/>
      <c r="U56" s="198" t="str">
        <f t="shared" si="7"/>
        <v/>
      </c>
      <c r="V56" s="201"/>
      <c r="W56" s="198" t="str">
        <f t="shared" si="8"/>
        <v/>
      </c>
      <c r="X56" s="201"/>
      <c r="Y56" s="198" t="str">
        <f t="shared" si="9"/>
        <v/>
      </c>
      <c r="Z56" s="201"/>
      <c r="AA56" s="198" t="str">
        <f t="shared" si="10"/>
        <v/>
      </c>
      <c r="AB56" s="201"/>
      <c r="AC56" s="198" t="str">
        <f t="shared" si="11"/>
        <v/>
      </c>
      <c r="AD56" s="201"/>
      <c r="AE56" s="198" t="str">
        <f t="shared" si="12"/>
        <v/>
      </c>
      <c r="AF56" s="201"/>
      <c r="AG56" s="198" t="str">
        <f t="shared" si="13"/>
        <v/>
      </c>
      <c r="AH56" s="201"/>
      <c r="AI56" s="198" t="str">
        <f t="shared" si="14"/>
        <v/>
      </c>
      <c r="AJ56" s="201"/>
      <c r="AK56" s="198" t="str">
        <f t="shared" si="15"/>
        <v/>
      </c>
      <c r="AL56" s="201"/>
      <c r="AM56" s="198" t="str">
        <f t="shared" si="16"/>
        <v/>
      </c>
      <c r="AN56" s="201"/>
      <c r="AO56" s="198" t="str">
        <f t="shared" si="17"/>
        <v/>
      </c>
      <c r="AP56" s="201"/>
      <c r="AQ56" s="198" t="str">
        <f t="shared" si="18"/>
        <v/>
      </c>
    </row>
    <row r="57" spans="1:43">
      <c r="A57" s="200"/>
      <c r="D57" s="201"/>
      <c r="E57" s="198" t="str">
        <f t="shared" si="0"/>
        <v/>
      </c>
      <c r="F57" s="201"/>
      <c r="G57" s="198" t="str">
        <f t="shared" si="0"/>
        <v/>
      </c>
      <c r="H57" s="201"/>
      <c r="I57" s="198" t="str">
        <f t="shared" si="1"/>
        <v/>
      </c>
      <c r="J57" s="201"/>
      <c r="K57" s="198" t="str">
        <f t="shared" si="2"/>
        <v/>
      </c>
      <c r="L57" s="201"/>
      <c r="M57" s="198" t="str">
        <f t="shared" si="3"/>
        <v/>
      </c>
      <c r="N57" s="201"/>
      <c r="O57" s="198" t="str">
        <f t="shared" si="4"/>
        <v/>
      </c>
      <c r="P57" s="201"/>
      <c r="Q57" s="198" t="str">
        <f t="shared" si="5"/>
        <v/>
      </c>
      <c r="R57" s="201"/>
      <c r="S57" s="198" t="str">
        <f t="shared" si="6"/>
        <v/>
      </c>
      <c r="T57" s="201"/>
      <c r="U57" s="198" t="str">
        <f t="shared" si="7"/>
        <v/>
      </c>
      <c r="V57" s="201"/>
      <c r="W57" s="198" t="str">
        <f t="shared" si="8"/>
        <v/>
      </c>
      <c r="X57" s="201"/>
      <c r="Y57" s="198" t="str">
        <f t="shared" si="9"/>
        <v/>
      </c>
      <c r="Z57" s="201"/>
      <c r="AA57" s="198" t="str">
        <f t="shared" si="10"/>
        <v/>
      </c>
      <c r="AB57" s="201"/>
      <c r="AC57" s="198" t="str">
        <f t="shared" si="11"/>
        <v/>
      </c>
      <c r="AD57" s="201"/>
      <c r="AE57" s="198" t="str">
        <f t="shared" si="12"/>
        <v/>
      </c>
      <c r="AF57" s="201"/>
      <c r="AG57" s="198" t="str">
        <f t="shared" si="13"/>
        <v/>
      </c>
      <c r="AH57" s="201"/>
      <c r="AI57" s="198" t="str">
        <f t="shared" si="14"/>
        <v/>
      </c>
      <c r="AJ57" s="201">
        <v>2831</v>
      </c>
      <c r="AK57" s="198" t="str">
        <f t="shared" si="15"/>
        <v/>
      </c>
      <c r="AL57" s="201"/>
      <c r="AM57" s="198" t="str">
        <f t="shared" si="16"/>
        <v/>
      </c>
      <c r="AN57" s="201"/>
      <c r="AO57" s="198" t="str">
        <f t="shared" si="17"/>
        <v/>
      </c>
      <c r="AP57" s="201">
        <v>2831</v>
      </c>
      <c r="AQ57" s="198" t="str">
        <f t="shared" si="18"/>
        <v/>
      </c>
    </row>
    <row r="58" spans="1:43">
      <c r="A58" s="200"/>
      <c r="D58" s="201"/>
      <c r="E58" s="198" t="str">
        <f t="shared" si="0"/>
        <v/>
      </c>
      <c r="F58" s="201">
        <v>10802</v>
      </c>
      <c r="G58" s="198" t="str">
        <f t="shared" si="0"/>
        <v/>
      </c>
      <c r="H58" s="201"/>
      <c r="I58" s="198" t="str">
        <f t="shared" si="1"/>
        <v/>
      </c>
      <c r="J58" s="201">
        <v>5000</v>
      </c>
      <c r="K58" s="198" t="str">
        <f t="shared" si="2"/>
        <v/>
      </c>
      <c r="L58" s="201"/>
      <c r="M58" s="198" t="str">
        <f t="shared" si="3"/>
        <v/>
      </c>
      <c r="N58" s="201"/>
      <c r="O58" s="198" t="str">
        <f t="shared" si="4"/>
        <v/>
      </c>
      <c r="P58" s="201"/>
      <c r="Q58" s="198" t="str">
        <f t="shared" si="5"/>
        <v/>
      </c>
      <c r="R58" s="201"/>
      <c r="S58" s="198" t="str">
        <f t="shared" si="6"/>
        <v/>
      </c>
      <c r="T58" s="201"/>
      <c r="U58" s="198" t="str">
        <f t="shared" si="7"/>
        <v/>
      </c>
      <c r="V58" s="201"/>
      <c r="W58" s="198" t="str">
        <f t="shared" si="8"/>
        <v/>
      </c>
      <c r="X58" s="201"/>
      <c r="Y58" s="198" t="str">
        <f t="shared" si="9"/>
        <v/>
      </c>
      <c r="Z58" s="201"/>
      <c r="AA58" s="198" t="str">
        <f t="shared" si="10"/>
        <v/>
      </c>
      <c r="AB58" s="201"/>
      <c r="AC58" s="198" t="str">
        <f t="shared" si="11"/>
        <v/>
      </c>
      <c r="AD58" s="201"/>
      <c r="AE58" s="198" t="str">
        <f t="shared" si="12"/>
        <v/>
      </c>
      <c r="AF58" s="201"/>
      <c r="AG58" s="198" t="str">
        <f t="shared" si="13"/>
        <v/>
      </c>
      <c r="AH58" s="201"/>
      <c r="AI58" s="198" t="str">
        <f t="shared" si="14"/>
        <v/>
      </c>
      <c r="AJ58" s="201"/>
      <c r="AK58" s="198" t="str">
        <f t="shared" si="15"/>
        <v/>
      </c>
      <c r="AL58" s="201"/>
      <c r="AM58" s="198" t="str">
        <f t="shared" si="16"/>
        <v/>
      </c>
      <c r="AN58" s="201"/>
      <c r="AO58" s="198" t="str">
        <f t="shared" si="17"/>
        <v/>
      </c>
      <c r="AP58" s="201">
        <v>15802</v>
      </c>
      <c r="AQ58" s="198" t="str">
        <f t="shared" si="18"/>
        <v/>
      </c>
    </row>
    <row r="59" spans="1:43">
      <c r="A59" s="190" t="s">
        <v>247</v>
      </c>
      <c r="B59" s="196">
        <v>0.23</v>
      </c>
      <c r="D59" s="197"/>
      <c r="E59" s="198" t="str">
        <f t="shared" si="0"/>
        <v/>
      </c>
      <c r="F59" s="197"/>
      <c r="G59" s="198" t="str">
        <f t="shared" si="0"/>
        <v/>
      </c>
      <c r="H59" s="197"/>
      <c r="I59" s="198" t="str">
        <f t="shared" si="1"/>
        <v/>
      </c>
      <c r="J59" s="197"/>
      <c r="K59" s="198" t="str">
        <f t="shared" si="2"/>
        <v/>
      </c>
      <c r="L59" s="197"/>
      <c r="M59" s="198" t="str">
        <f t="shared" si="3"/>
        <v/>
      </c>
      <c r="N59" s="197">
        <v>13</v>
      </c>
      <c r="O59" s="198">
        <f t="shared" si="4"/>
        <v>56.521739130434781</v>
      </c>
      <c r="P59" s="197">
        <v>52</v>
      </c>
      <c r="Q59" s="198">
        <f t="shared" si="5"/>
        <v>226.08695652173913</v>
      </c>
      <c r="R59" s="197"/>
      <c r="S59" s="198" t="str">
        <f t="shared" si="6"/>
        <v/>
      </c>
      <c r="T59" s="197"/>
      <c r="U59" s="198" t="str">
        <f t="shared" si="7"/>
        <v/>
      </c>
      <c r="V59" s="197"/>
      <c r="W59" s="198" t="str">
        <f t="shared" si="8"/>
        <v/>
      </c>
      <c r="X59" s="197"/>
      <c r="Y59" s="198" t="str">
        <f t="shared" si="9"/>
        <v/>
      </c>
      <c r="Z59" s="197"/>
      <c r="AA59" s="198" t="str">
        <f t="shared" si="10"/>
        <v/>
      </c>
      <c r="AB59" s="197"/>
      <c r="AC59" s="198" t="str">
        <f t="shared" si="11"/>
        <v/>
      </c>
      <c r="AD59" s="197">
        <v>18806</v>
      </c>
      <c r="AE59" s="198">
        <f t="shared" si="12"/>
        <v>81765.217391304337</v>
      </c>
      <c r="AF59" s="197"/>
      <c r="AG59" s="198" t="str">
        <f t="shared" si="13"/>
        <v/>
      </c>
      <c r="AH59" s="197"/>
      <c r="AI59" s="198" t="str">
        <f t="shared" si="14"/>
        <v/>
      </c>
      <c r="AJ59" s="197"/>
      <c r="AK59" s="198" t="str">
        <f t="shared" si="15"/>
        <v/>
      </c>
      <c r="AL59" s="197"/>
      <c r="AM59" s="198" t="str">
        <f t="shared" si="16"/>
        <v/>
      </c>
      <c r="AN59" s="197"/>
      <c r="AO59" s="198" t="str">
        <f t="shared" si="17"/>
        <v/>
      </c>
      <c r="AP59" s="197">
        <v>18871</v>
      </c>
      <c r="AQ59" s="198">
        <f t="shared" si="18"/>
        <v>82047.826086956513</v>
      </c>
    </row>
    <row r="60" spans="1:43">
      <c r="A60" s="200"/>
      <c r="B60">
        <v>2.93</v>
      </c>
      <c r="D60" s="201">
        <v>6646</v>
      </c>
      <c r="E60" s="198">
        <f t="shared" si="0"/>
        <v>2268.259385665529</v>
      </c>
      <c r="F60" s="201"/>
      <c r="G60" s="198" t="str">
        <f t="shared" si="0"/>
        <v/>
      </c>
      <c r="H60" s="201"/>
      <c r="I60" s="198" t="str">
        <f t="shared" si="1"/>
        <v/>
      </c>
      <c r="J60" s="201"/>
      <c r="K60" s="198" t="str">
        <f t="shared" si="2"/>
        <v/>
      </c>
      <c r="L60" s="201"/>
      <c r="M60" s="198" t="str">
        <f t="shared" si="3"/>
        <v/>
      </c>
      <c r="N60" s="201">
        <v>20</v>
      </c>
      <c r="O60" s="198">
        <f t="shared" si="4"/>
        <v>6.8259385665529004</v>
      </c>
      <c r="P60" s="201">
        <v>563</v>
      </c>
      <c r="Q60" s="198">
        <f t="shared" si="5"/>
        <v>192.15017064846415</v>
      </c>
      <c r="R60" s="201">
        <v>102</v>
      </c>
      <c r="S60" s="198">
        <f t="shared" si="6"/>
        <v>34.812286689419793</v>
      </c>
      <c r="T60" s="201"/>
      <c r="U60" s="198" t="str">
        <f t="shared" si="7"/>
        <v/>
      </c>
      <c r="V60" s="201">
        <v>20</v>
      </c>
      <c r="W60" s="198">
        <f t="shared" si="8"/>
        <v>6.8259385665529004</v>
      </c>
      <c r="X60" s="201"/>
      <c r="Y60" s="198" t="str">
        <f t="shared" si="9"/>
        <v/>
      </c>
      <c r="Z60" s="201"/>
      <c r="AA60" s="198" t="str">
        <f t="shared" si="10"/>
        <v/>
      </c>
      <c r="AB60" s="201"/>
      <c r="AC60" s="198" t="str">
        <f t="shared" si="11"/>
        <v/>
      </c>
      <c r="AD60" s="201"/>
      <c r="AE60" s="198" t="str">
        <f t="shared" si="12"/>
        <v/>
      </c>
      <c r="AF60" s="201"/>
      <c r="AG60" s="198" t="str">
        <f t="shared" si="13"/>
        <v/>
      </c>
      <c r="AH60" s="201"/>
      <c r="AI60" s="198" t="str">
        <f t="shared" si="14"/>
        <v/>
      </c>
      <c r="AJ60" s="201"/>
      <c r="AK60" s="198" t="str">
        <f t="shared" si="15"/>
        <v/>
      </c>
      <c r="AL60" s="201"/>
      <c r="AM60" s="198" t="str">
        <f t="shared" si="16"/>
        <v/>
      </c>
      <c r="AN60" s="201"/>
      <c r="AO60" s="198" t="str">
        <f t="shared" si="17"/>
        <v/>
      </c>
      <c r="AP60" s="201">
        <v>705</v>
      </c>
      <c r="AQ60" s="198">
        <f t="shared" si="18"/>
        <v>240.61433447098975</v>
      </c>
    </row>
    <row r="61" spans="1:43">
      <c r="A61" s="190" t="s">
        <v>248</v>
      </c>
      <c r="B61" s="196">
        <v>4.62</v>
      </c>
      <c r="D61" s="197">
        <v>51120</v>
      </c>
      <c r="E61" s="198">
        <f t="shared" si="0"/>
        <v>11064.935064935065</v>
      </c>
      <c r="F61" s="197"/>
      <c r="G61" s="198" t="str">
        <f t="shared" si="0"/>
        <v/>
      </c>
      <c r="H61" s="197"/>
      <c r="I61" s="198" t="str">
        <f t="shared" si="1"/>
        <v/>
      </c>
      <c r="J61" s="197">
        <v>7750</v>
      </c>
      <c r="K61" s="198">
        <f t="shared" si="2"/>
        <v>1677.4891774891776</v>
      </c>
      <c r="L61" s="197"/>
      <c r="M61" s="198" t="str">
        <f t="shared" si="3"/>
        <v/>
      </c>
      <c r="N61" s="197">
        <v>1132</v>
      </c>
      <c r="O61" s="198">
        <f t="shared" si="4"/>
        <v>245.02164502164501</v>
      </c>
      <c r="P61" s="197">
        <v>1476</v>
      </c>
      <c r="Q61" s="198">
        <f t="shared" si="5"/>
        <v>319.48051948051949</v>
      </c>
      <c r="R61" s="197"/>
      <c r="S61" s="198" t="str">
        <f t="shared" si="6"/>
        <v/>
      </c>
      <c r="T61" s="197"/>
      <c r="U61" s="198" t="str">
        <f t="shared" si="7"/>
        <v/>
      </c>
      <c r="V61" s="197"/>
      <c r="W61" s="198" t="str">
        <f t="shared" si="8"/>
        <v/>
      </c>
      <c r="X61" s="197"/>
      <c r="Y61" s="198" t="str">
        <f t="shared" si="9"/>
        <v/>
      </c>
      <c r="Z61" s="197"/>
      <c r="AA61" s="198" t="str">
        <f t="shared" si="10"/>
        <v/>
      </c>
      <c r="AB61" s="197"/>
      <c r="AC61" s="198" t="str">
        <f t="shared" si="11"/>
        <v/>
      </c>
      <c r="AD61" s="197"/>
      <c r="AE61" s="198" t="str">
        <f t="shared" si="12"/>
        <v/>
      </c>
      <c r="AF61" s="197"/>
      <c r="AG61" s="198" t="str">
        <f t="shared" si="13"/>
        <v/>
      </c>
      <c r="AH61" s="197"/>
      <c r="AI61" s="198" t="str">
        <f t="shared" si="14"/>
        <v/>
      </c>
      <c r="AJ61" s="197">
        <v>7108</v>
      </c>
      <c r="AK61" s="198">
        <f t="shared" si="15"/>
        <v>1538.5281385281385</v>
      </c>
      <c r="AL61" s="197"/>
      <c r="AM61" s="198" t="str">
        <f t="shared" si="16"/>
        <v/>
      </c>
      <c r="AN61" s="197"/>
      <c r="AO61" s="198" t="str">
        <f t="shared" si="17"/>
        <v/>
      </c>
      <c r="AP61" s="197">
        <v>17466</v>
      </c>
      <c r="AQ61" s="198">
        <f t="shared" si="18"/>
        <v>3780.5194805194806</v>
      </c>
    </row>
    <row r="62" spans="1:43">
      <c r="A62" s="200"/>
      <c r="B62">
        <v>3.36</v>
      </c>
      <c r="D62" s="201">
        <v>25553</v>
      </c>
      <c r="E62" s="198">
        <f t="shared" si="0"/>
        <v>7605.0595238095239</v>
      </c>
      <c r="F62" s="201"/>
      <c r="G62" s="198" t="str">
        <f t="shared" si="0"/>
        <v/>
      </c>
      <c r="H62" s="201"/>
      <c r="I62" s="198" t="str">
        <f t="shared" si="1"/>
        <v/>
      </c>
      <c r="J62" s="201"/>
      <c r="K62" s="198" t="str">
        <f t="shared" si="2"/>
        <v/>
      </c>
      <c r="L62" s="201"/>
      <c r="M62" s="198" t="str">
        <f t="shared" si="3"/>
        <v/>
      </c>
      <c r="N62" s="201">
        <v>195</v>
      </c>
      <c r="O62" s="198">
        <f t="shared" si="4"/>
        <v>58.035714285714285</v>
      </c>
      <c r="P62" s="201">
        <v>3182</v>
      </c>
      <c r="Q62" s="198">
        <f t="shared" si="5"/>
        <v>947.02380952380952</v>
      </c>
      <c r="R62" s="201"/>
      <c r="S62" s="198" t="str">
        <f t="shared" si="6"/>
        <v/>
      </c>
      <c r="T62" s="201"/>
      <c r="U62" s="198" t="str">
        <f t="shared" si="7"/>
        <v/>
      </c>
      <c r="V62" s="201"/>
      <c r="W62" s="198" t="str">
        <f t="shared" si="8"/>
        <v/>
      </c>
      <c r="X62" s="201"/>
      <c r="Y62" s="198" t="str">
        <f t="shared" si="9"/>
        <v/>
      </c>
      <c r="Z62" s="201"/>
      <c r="AA62" s="198" t="str">
        <f t="shared" si="10"/>
        <v/>
      </c>
      <c r="AB62" s="201"/>
      <c r="AC62" s="198" t="str">
        <f t="shared" si="11"/>
        <v/>
      </c>
      <c r="AD62" s="201"/>
      <c r="AE62" s="198" t="str">
        <f t="shared" si="12"/>
        <v/>
      </c>
      <c r="AF62" s="201"/>
      <c r="AG62" s="198" t="str">
        <f t="shared" si="13"/>
        <v/>
      </c>
      <c r="AH62" s="201"/>
      <c r="AI62" s="198" t="str">
        <f t="shared" si="14"/>
        <v/>
      </c>
      <c r="AJ62" s="201">
        <v>1695</v>
      </c>
      <c r="AK62" s="198">
        <f t="shared" si="15"/>
        <v>504.46428571428572</v>
      </c>
      <c r="AL62" s="201"/>
      <c r="AM62" s="198" t="str">
        <f t="shared" si="16"/>
        <v/>
      </c>
      <c r="AN62" s="201"/>
      <c r="AO62" s="198" t="str">
        <f t="shared" si="17"/>
        <v/>
      </c>
      <c r="AP62" s="201">
        <v>5072</v>
      </c>
      <c r="AQ62" s="198">
        <f t="shared" si="18"/>
        <v>1509.5238095238096</v>
      </c>
    </row>
    <row r="63" spans="1:43">
      <c r="A63" s="200"/>
      <c r="B63">
        <v>0.26</v>
      </c>
      <c r="D63" s="201">
        <v>559</v>
      </c>
      <c r="E63" s="198">
        <f t="shared" si="0"/>
        <v>2150</v>
      </c>
      <c r="F63" s="201"/>
      <c r="G63" s="198" t="str">
        <f t="shared" si="0"/>
        <v/>
      </c>
      <c r="H63" s="201"/>
      <c r="I63" s="198" t="str">
        <f t="shared" si="1"/>
        <v/>
      </c>
      <c r="J63" s="201"/>
      <c r="K63" s="198" t="str">
        <f t="shared" si="2"/>
        <v/>
      </c>
      <c r="L63" s="201"/>
      <c r="M63" s="198" t="str">
        <f t="shared" si="3"/>
        <v/>
      </c>
      <c r="N63" s="201">
        <v>18</v>
      </c>
      <c r="O63" s="198">
        <f t="shared" si="4"/>
        <v>69.230769230769226</v>
      </c>
      <c r="P63" s="201">
        <v>24</v>
      </c>
      <c r="Q63" s="198">
        <f t="shared" si="5"/>
        <v>92.307692307692307</v>
      </c>
      <c r="R63" s="201"/>
      <c r="S63" s="198" t="str">
        <f t="shared" si="6"/>
        <v/>
      </c>
      <c r="T63" s="201"/>
      <c r="U63" s="198" t="str">
        <f t="shared" si="7"/>
        <v/>
      </c>
      <c r="V63" s="201"/>
      <c r="W63" s="198" t="str">
        <f t="shared" si="8"/>
        <v/>
      </c>
      <c r="X63" s="201"/>
      <c r="Y63" s="198" t="str">
        <f t="shared" si="9"/>
        <v/>
      </c>
      <c r="Z63" s="201"/>
      <c r="AA63" s="198" t="str">
        <f t="shared" si="10"/>
        <v/>
      </c>
      <c r="AB63" s="201"/>
      <c r="AC63" s="198" t="str">
        <f t="shared" si="11"/>
        <v/>
      </c>
      <c r="AD63" s="201"/>
      <c r="AE63" s="198" t="str">
        <f t="shared" si="12"/>
        <v/>
      </c>
      <c r="AF63" s="201"/>
      <c r="AG63" s="198" t="str">
        <f t="shared" si="13"/>
        <v/>
      </c>
      <c r="AH63" s="201"/>
      <c r="AI63" s="198" t="str">
        <f t="shared" si="14"/>
        <v/>
      </c>
      <c r="AJ63" s="201">
        <v>116</v>
      </c>
      <c r="AK63" s="198">
        <f t="shared" si="15"/>
        <v>446.15384615384613</v>
      </c>
      <c r="AL63" s="201"/>
      <c r="AM63" s="198" t="str">
        <f t="shared" si="16"/>
        <v/>
      </c>
      <c r="AN63" s="201"/>
      <c r="AO63" s="198" t="str">
        <f t="shared" si="17"/>
        <v/>
      </c>
      <c r="AP63" s="201">
        <v>158</v>
      </c>
      <c r="AQ63" s="198">
        <f t="shared" si="18"/>
        <v>607.69230769230762</v>
      </c>
    </row>
    <row r="64" spans="1:43">
      <c r="A64" s="190" t="s">
        <v>249</v>
      </c>
      <c r="B64" s="196">
        <v>0.41599999999999998</v>
      </c>
      <c r="D64" s="197">
        <v>5277</v>
      </c>
      <c r="E64" s="198">
        <f t="shared" si="0"/>
        <v>12685.096153846154</v>
      </c>
      <c r="F64" s="197"/>
      <c r="G64" s="198" t="str">
        <f t="shared" si="0"/>
        <v/>
      </c>
      <c r="H64" s="197"/>
      <c r="I64" s="198" t="str">
        <f t="shared" si="1"/>
        <v/>
      </c>
      <c r="J64" s="197"/>
      <c r="K64" s="198" t="str">
        <f t="shared" si="2"/>
        <v/>
      </c>
      <c r="L64" s="197"/>
      <c r="M64" s="198" t="str">
        <f t="shared" si="3"/>
        <v/>
      </c>
      <c r="N64" s="197">
        <v>128</v>
      </c>
      <c r="O64" s="198">
        <f t="shared" si="4"/>
        <v>307.69230769230768</v>
      </c>
      <c r="P64" s="197">
        <v>366</v>
      </c>
      <c r="Q64" s="198">
        <f t="shared" si="5"/>
        <v>879.80769230769238</v>
      </c>
      <c r="R64" s="197"/>
      <c r="S64" s="198" t="str">
        <f t="shared" si="6"/>
        <v/>
      </c>
      <c r="T64" s="197"/>
      <c r="U64" s="198" t="str">
        <f t="shared" si="7"/>
        <v/>
      </c>
      <c r="V64" s="197"/>
      <c r="W64" s="198" t="str">
        <f t="shared" si="8"/>
        <v/>
      </c>
      <c r="X64" s="197"/>
      <c r="Y64" s="198" t="str">
        <f t="shared" si="9"/>
        <v/>
      </c>
      <c r="Z64" s="197"/>
      <c r="AA64" s="198" t="str">
        <f t="shared" si="10"/>
        <v/>
      </c>
      <c r="AB64" s="197"/>
      <c r="AC64" s="198" t="str">
        <f t="shared" si="11"/>
        <v/>
      </c>
      <c r="AD64" s="197"/>
      <c r="AE64" s="198" t="str">
        <f t="shared" si="12"/>
        <v/>
      </c>
      <c r="AF64" s="197"/>
      <c r="AG64" s="198" t="str">
        <f t="shared" si="13"/>
        <v/>
      </c>
      <c r="AH64" s="197"/>
      <c r="AI64" s="198" t="str">
        <f t="shared" si="14"/>
        <v/>
      </c>
      <c r="AJ64" s="197"/>
      <c r="AK64" s="198" t="str">
        <f t="shared" si="15"/>
        <v/>
      </c>
      <c r="AL64" s="197"/>
      <c r="AM64" s="198" t="str">
        <f t="shared" si="16"/>
        <v/>
      </c>
      <c r="AN64" s="197"/>
      <c r="AO64" s="198" t="str">
        <f t="shared" si="17"/>
        <v/>
      </c>
      <c r="AP64" s="197">
        <v>494</v>
      </c>
      <c r="AQ64" s="198">
        <f t="shared" si="18"/>
        <v>1187.5</v>
      </c>
    </row>
    <row r="65" spans="1:43">
      <c r="A65" s="200"/>
      <c r="B65">
        <v>8.3800000000000008</v>
      </c>
      <c r="D65" s="201">
        <v>38534</v>
      </c>
      <c r="E65" s="198">
        <f t="shared" si="0"/>
        <v>4598.3293556085919</v>
      </c>
      <c r="F65" s="201"/>
      <c r="G65" s="198" t="str">
        <f t="shared" si="0"/>
        <v/>
      </c>
      <c r="H65" s="201"/>
      <c r="I65" s="198" t="str">
        <f t="shared" si="1"/>
        <v/>
      </c>
      <c r="J65" s="201"/>
      <c r="K65" s="198" t="str">
        <f t="shared" si="2"/>
        <v/>
      </c>
      <c r="L65" s="201"/>
      <c r="M65" s="198" t="str">
        <f t="shared" si="3"/>
        <v/>
      </c>
      <c r="N65" s="201">
        <v>1561</v>
      </c>
      <c r="O65" s="198">
        <f t="shared" si="4"/>
        <v>186.27684964200475</v>
      </c>
      <c r="P65" s="201">
        <v>4118</v>
      </c>
      <c r="Q65" s="198">
        <f t="shared" si="5"/>
        <v>491.4081145584725</v>
      </c>
      <c r="R65" s="201"/>
      <c r="S65" s="198" t="str">
        <f t="shared" si="6"/>
        <v/>
      </c>
      <c r="T65" s="201"/>
      <c r="U65" s="198" t="str">
        <f t="shared" si="7"/>
        <v/>
      </c>
      <c r="V65" s="201">
        <v>12618</v>
      </c>
      <c r="W65" s="198">
        <f t="shared" si="8"/>
        <v>1505.7279236276847</v>
      </c>
      <c r="X65" s="201">
        <v>4050</v>
      </c>
      <c r="Y65" s="198">
        <f t="shared" si="9"/>
        <v>483.29355608591879</v>
      </c>
      <c r="Z65" s="201"/>
      <c r="AA65" s="198" t="str">
        <f t="shared" si="10"/>
        <v/>
      </c>
      <c r="AB65" s="201"/>
      <c r="AC65" s="198" t="str">
        <f t="shared" si="11"/>
        <v/>
      </c>
      <c r="AD65" s="201"/>
      <c r="AE65" s="198" t="str">
        <f t="shared" si="12"/>
        <v/>
      </c>
      <c r="AF65" s="201"/>
      <c r="AG65" s="198" t="str">
        <f t="shared" si="13"/>
        <v/>
      </c>
      <c r="AH65" s="201"/>
      <c r="AI65" s="198" t="str">
        <f t="shared" si="14"/>
        <v/>
      </c>
      <c r="AJ65" s="201">
        <v>12184</v>
      </c>
      <c r="AK65" s="198">
        <f t="shared" si="15"/>
        <v>1453.9379474940333</v>
      </c>
      <c r="AL65" s="201"/>
      <c r="AM65" s="198" t="str">
        <f t="shared" si="16"/>
        <v/>
      </c>
      <c r="AN65" s="201"/>
      <c r="AO65" s="198" t="str">
        <f t="shared" si="17"/>
        <v/>
      </c>
      <c r="AP65" s="201">
        <v>34531</v>
      </c>
      <c r="AQ65" s="198">
        <f t="shared" si="18"/>
        <v>4120.6443914081137</v>
      </c>
    </row>
    <row r="66" spans="1:43">
      <c r="A66" s="200"/>
      <c r="B66">
        <v>0.70799999999999996</v>
      </c>
      <c r="D66" s="201">
        <v>4775</v>
      </c>
      <c r="E66" s="198">
        <f t="shared" si="0"/>
        <v>6744.3502824858761</v>
      </c>
      <c r="F66" s="201"/>
      <c r="G66" s="198" t="str">
        <f t="shared" si="0"/>
        <v/>
      </c>
      <c r="H66" s="201"/>
      <c r="I66" s="198" t="str">
        <f t="shared" si="1"/>
        <v/>
      </c>
      <c r="J66" s="201"/>
      <c r="K66" s="198" t="str">
        <f t="shared" si="2"/>
        <v/>
      </c>
      <c r="L66" s="201"/>
      <c r="M66" s="198" t="str">
        <f t="shared" si="3"/>
        <v/>
      </c>
      <c r="N66" s="201">
        <v>135</v>
      </c>
      <c r="O66" s="198">
        <f t="shared" si="4"/>
        <v>190.67796610169492</v>
      </c>
      <c r="P66" s="201">
        <v>386</v>
      </c>
      <c r="Q66" s="198">
        <f t="shared" si="5"/>
        <v>545.19774011299432</v>
      </c>
      <c r="R66" s="201"/>
      <c r="S66" s="198" t="str">
        <f t="shared" si="6"/>
        <v/>
      </c>
      <c r="T66" s="201"/>
      <c r="U66" s="198" t="str">
        <f t="shared" si="7"/>
        <v/>
      </c>
      <c r="V66" s="201"/>
      <c r="W66" s="198" t="str">
        <f t="shared" si="8"/>
        <v/>
      </c>
      <c r="X66" s="201"/>
      <c r="Y66" s="198" t="str">
        <f t="shared" si="9"/>
        <v/>
      </c>
      <c r="Z66" s="201"/>
      <c r="AA66" s="198" t="str">
        <f t="shared" si="10"/>
        <v/>
      </c>
      <c r="AB66" s="201"/>
      <c r="AC66" s="198" t="str">
        <f t="shared" si="11"/>
        <v/>
      </c>
      <c r="AD66" s="201"/>
      <c r="AE66" s="198" t="str">
        <f t="shared" si="12"/>
        <v/>
      </c>
      <c r="AF66" s="201"/>
      <c r="AG66" s="198" t="str">
        <f t="shared" si="13"/>
        <v/>
      </c>
      <c r="AH66" s="201"/>
      <c r="AI66" s="198" t="str">
        <f t="shared" si="14"/>
        <v/>
      </c>
      <c r="AJ66" s="201"/>
      <c r="AK66" s="198" t="str">
        <f t="shared" si="15"/>
        <v/>
      </c>
      <c r="AL66" s="201"/>
      <c r="AM66" s="198" t="str">
        <f t="shared" si="16"/>
        <v/>
      </c>
      <c r="AN66" s="201"/>
      <c r="AO66" s="198" t="str">
        <f t="shared" si="17"/>
        <v/>
      </c>
      <c r="AP66" s="201">
        <v>521</v>
      </c>
      <c r="AQ66" s="198">
        <f t="shared" si="18"/>
        <v>735.87570621468933</v>
      </c>
    </row>
    <row r="67" spans="1:43">
      <c r="A67" s="200"/>
      <c r="B67">
        <v>2.4300000000000002</v>
      </c>
      <c r="D67" s="201"/>
      <c r="E67" s="198" t="str">
        <f t="shared" si="0"/>
        <v/>
      </c>
      <c r="F67" s="201"/>
      <c r="G67" s="198" t="str">
        <f t="shared" si="0"/>
        <v/>
      </c>
      <c r="H67" s="201"/>
      <c r="I67" s="198" t="str">
        <f t="shared" si="1"/>
        <v/>
      </c>
      <c r="J67" s="201"/>
      <c r="K67" s="198" t="str">
        <f t="shared" si="2"/>
        <v/>
      </c>
      <c r="L67" s="201"/>
      <c r="M67" s="198" t="str">
        <f t="shared" si="3"/>
        <v/>
      </c>
      <c r="N67" s="201">
        <v>250</v>
      </c>
      <c r="O67" s="198">
        <f t="shared" si="4"/>
        <v>102.88065843621399</v>
      </c>
      <c r="P67" s="201">
        <v>2146</v>
      </c>
      <c r="Q67" s="198">
        <f t="shared" si="5"/>
        <v>883.12757201646082</v>
      </c>
      <c r="R67" s="201"/>
      <c r="S67" s="198" t="str">
        <f t="shared" si="6"/>
        <v/>
      </c>
      <c r="T67" s="201"/>
      <c r="U67" s="198" t="str">
        <f t="shared" si="7"/>
        <v/>
      </c>
      <c r="V67" s="201"/>
      <c r="W67" s="198" t="str">
        <f t="shared" si="8"/>
        <v/>
      </c>
      <c r="X67" s="201"/>
      <c r="Y67" s="198" t="str">
        <f t="shared" si="9"/>
        <v/>
      </c>
      <c r="Z67" s="201">
        <v>100</v>
      </c>
      <c r="AA67" s="198">
        <f t="shared" si="10"/>
        <v>41.152263374485592</v>
      </c>
      <c r="AB67" s="201"/>
      <c r="AC67" s="198" t="str">
        <f t="shared" si="11"/>
        <v/>
      </c>
      <c r="AD67" s="201"/>
      <c r="AE67" s="198" t="str">
        <f t="shared" si="12"/>
        <v/>
      </c>
      <c r="AF67" s="201"/>
      <c r="AG67" s="198" t="str">
        <f t="shared" si="13"/>
        <v/>
      </c>
      <c r="AH67" s="201"/>
      <c r="AI67" s="198" t="str">
        <f t="shared" si="14"/>
        <v/>
      </c>
      <c r="AJ67" s="201"/>
      <c r="AK67" s="198" t="str">
        <f t="shared" si="15"/>
        <v/>
      </c>
      <c r="AL67" s="201"/>
      <c r="AM67" s="198" t="str">
        <f t="shared" si="16"/>
        <v/>
      </c>
      <c r="AN67" s="201"/>
      <c r="AO67" s="198" t="str">
        <f t="shared" si="17"/>
        <v/>
      </c>
      <c r="AP67" s="201">
        <v>2496</v>
      </c>
      <c r="AQ67" s="198">
        <f t="shared" si="18"/>
        <v>1027.1604938271605</v>
      </c>
    </row>
    <row r="68" spans="1:43">
      <c r="A68" s="200"/>
      <c r="B68">
        <v>1.911</v>
      </c>
      <c r="D68" s="201"/>
      <c r="E68" s="198" t="str">
        <f t="shared" si="0"/>
        <v/>
      </c>
      <c r="F68" s="201"/>
      <c r="G68" s="198" t="str">
        <f t="shared" si="0"/>
        <v/>
      </c>
      <c r="H68" s="201"/>
      <c r="I68" s="198" t="str">
        <f t="shared" si="1"/>
        <v/>
      </c>
      <c r="J68" s="201"/>
      <c r="K68" s="198" t="str">
        <f t="shared" si="2"/>
        <v/>
      </c>
      <c r="L68" s="201"/>
      <c r="M68" s="198" t="str">
        <f t="shared" si="3"/>
        <v/>
      </c>
      <c r="N68" s="201"/>
      <c r="O68" s="198" t="str">
        <f t="shared" si="4"/>
        <v/>
      </c>
      <c r="P68" s="201">
        <v>1472</v>
      </c>
      <c r="Q68" s="198">
        <f t="shared" si="5"/>
        <v>770.27734170591316</v>
      </c>
      <c r="R68" s="201"/>
      <c r="S68" s="198" t="str">
        <f t="shared" si="6"/>
        <v/>
      </c>
      <c r="T68" s="201"/>
      <c r="U68" s="198" t="str">
        <f t="shared" si="7"/>
        <v/>
      </c>
      <c r="V68" s="201"/>
      <c r="W68" s="198" t="str">
        <f t="shared" si="8"/>
        <v/>
      </c>
      <c r="X68" s="201"/>
      <c r="Y68" s="198" t="str">
        <f t="shared" si="9"/>
        <v/>
      </c>
      <c r="Z68" s="201"/>
      <c r="AA68" s="198" t="str">
        <f t="shared" si="10"/>
        <v/>
      </c>
      <c r="AB68" s="201"/>
      <c r="AC68" s="198" t="str">
        <f t="shared" si="11"/>
        <v/>
      </c>
      <c r="AD68" s="201"/>
      <c r="AE68" s="198" t="str">
        <f t="shared" si="12"/>
        <v/>
      </c>
      <c r="AF68" s="201"/>
      <c r="AG68" s="198" t="str">
        <f t="shared" si="13"/>
        <v/>
      </c>
      <c r="AH68" s="201"/>
      <c r="AI68" s="198" t="str">
        <f t="shared" si="14"/>
        <v/>
      </c>
      <c r="AJ68" s="201"/>
      <c r="AK68" s="198" t="str">
        <f t="shared" si="15"/>
        <v/>
      </c>
      <c r="AL68" s="201"/>
      <c r="AM68" s="198" t="str">
        <f t="shared" si="16"/>
        <v/>
      </c>
      <c r="AN68" s="201"/>
      <c r="AO68" s="198" t="str">
        <f t="shared" si="17"/>
        <v/>
      </c>
      <c r="AP68" s="201">
        <v>1472</v>
      </c>
      <c r="AQ68" s="198">
        <f t="shared" si="18"/>
        <v>770.27734170591316</v>
      </c>
    </row>
    <row r="69" spans="1:43">
      <c r="A69" s="200"/>
      <c r="D69" s="201"/>
      <c r="E69" s="198" t="str">
        <f t="shared" si="0"/>
        <v/>
      </c>
      <c r="F69" s="201"/>
      <c r="G69" s="198" t="str">
        <f t="shared" si="0"/>
        <v/>
      </c>
      <c r="H69" s="201"/>
      <c r="I69" s="198" t="str">
        <f t="shared" si="1"/>
        <v/>
      </c>
      <c r="J69" s="201"/>
      <c r="K69" s="198" t="str">
        <f t="shared" si="2"/>
        <v/>
      </c>
      <c r="L69" s="201"/>
      <c r="M69" s="198" t="str">
        <f t="shared" si="3"/>
        <v/>
      </c>
      <c r="N69" s="201"/>
      <c r="O69" s="198" t="str">
        <f t="shared" si="4"/>
        <v/>
      </c>
      <c r="P69" s="201"/>
      <c r="Q69" s="198" t="str">
        <f t="shared" si="5"/>
        <v/>
      </c>
      <c r="R69" s="201"/>
      <c r="S69" s="198" t="str">
        <f t="shared" si="6"/>
        <v/>
      </c>
      <c r="T69" s="201"/>
      <c r="U69" s="198" t="str">
        <f t="shared" si="7"/>
        <v/>
      </c>
      <c r="V69" s="201"/>
      <c r="W69" s="198" t="str">
        <f t="shared" si="8"/>
        <v/>
      </c>
      <c r="X69" s="201"/>
      <c r="Y69" s="198" t="str">
        <f t="shared" si="9"/>
        <v/>
      </c>
      <c r="Z69" s="201"/>
      <c r="AA69" s="198" t="str">
        <f t="shared" si="10"/>
        <v/>
      </c>
      <c r="AB69" s="201"/>
      <c r="AC69" s="198" t="str">
        <f t="shared" si="11"/>
        <v/>
      </c>
      <c r="AD69" s="201"/>
      <c r="AE69" s="198" t="str">
        <f t="shared" si="12"/>
        <v/>
      </c>
      <c r="AF69" s="201"/>
      <c r="AG69" s="198" t="str">
        <f t="shared" si="13"/>
        <v/>
      </c>
      <c r="AH69" s="201"/>
      <c r="AI69" s="198" t="str">
        <f t="shared" si="14"/>
        <v/>
      </c>
      <c r="AJ69" s="201"/>
      <c r="AK69" s="198" t="str">
        <f t="shared" si="15"/>
        <v/>
      </c>
      <c r="AL69" s="201"/>
      <c r="AM69" s="198" t="str">
        <f t="shared" si="16"/>
        <v/>
      </c>
      <c r="AN69" s="201"/>
      <c r="AO69" s="198" t="str">
        <f t="shared" si="17"/>
        <v/>
      </c>
      <c r="AP69" s="201"/>
      <c r="AQ69" s="198" t="str">
        <f t="shared" si="18"/>
        <v/>
      </c>
    </row>
    <row r="70" spans="1:43">
      <c r="A70" s="200"/>
      <c r="B70">
        <v>0.55400000000000005</v>
      </c>
      <c r="D70" s="201"/>
      <c r="E70" s="198" t="str">
        <f t="shared" si="0"/>
        <v/>
      </c>
      <c r="F70" s="201"/>
      <c r="G70" s="198" t="str">
        <f t="shared" si="0"/>
        <v/>
      </c>
      <c r="H70" s="201"/>
      <c r="I70" s="198" t="str">
        <f t="shared" si="1"/>
        <v/>
      </c>
      <c r="J70" s="201"/>
      <c r="K70" s="198" t="str">
        <f t="shared" si="2"/>
        <v/>
      </c>
      <c r="L70" s="201"/>
      <c r="M70" s="198" t="str">
        <f t="shared" si="3"/>
        <v/>
      </c>
      <c r="N70" s="201">
        <v>122</v>
      </c>
      <c r="O70" s="198">
        <f t="shared" si="4"/>
        <v>220.21660649819492</v>
      </c>
      <c r="P70" s="201">
        <v>350</v>
      </c>
      <c r="Q70" s="198">
        <f t="shared" si="5"/>
        <v>631.76895306859205</v>
      </c>
      <c r="R70" s="201"/>
      <c r="S70" s="198" t="str">
        <f t="shared" si="6"/>
        <v/>
      </c>
      <c r="T70" s="201"/>
      <c r="U70" s="198" t="str">
        <f t="shared" si="7"/>
        <v/>
      </c>
      <c r="V70" s="201"/>
      <c r="W70" s="198" t="str">
        <f t="shared" si="8"/>
        <v/>
      </c>
      <c r="X70" s="201"/>
      <c r="Y70" s="198" t="str">
        <f t="shared" si="9"/>
        <v/>
      </c>
      <c r="Z70" s="201"/>
      <c r="AA70" s="198" t="str">
        <f t="shared" si="10"/>
        <v/>
      </c>
      <c r="AB70" s="201"/>
      <c r="AC70" s="198" t="str">
        <f t="shared" si="11"/>
        <v/>
      </c>
      <c r="AD70" s="201"/>
      <c r="AE70" s="198" t="str">
        <f t="shared" si="12"/>
        <v/>
      </c>
      <c r="AF70" s="201"/>
      <c r="AG70" s="198" t="str">
        <f t="shared" si="13"/>
        <v/>
      </c>
      <c r="AH70" s="201"/>
      <c r="AI70" s="198" t="str">
        <f t="shared" si="14"/>
        <v/>
      </c>
      <c r="AJ70" s="201"/>
      <c r="AK70" s="198" t="str">
        <f t="shared" si="15"/>
        <v/>
      </c>
      <c r="AL70" s="201"/>
      <c r="AM70" s="198" t="str">
        <f t="shared" si="16"/>
        <v/>
      </c>
      <c r="AN70" s="201"/>
      <c r="AO70" s="198" t="str">
        <f t="shared" si="17"/>
        <v/>
      </c>
      <c r="AP70" s="201">
        <v>472</v>
      </c>
      <c r="AQ70" s="198">
        <f t="shared" si="18"/>
        <v>851.98555956678695</v>
      </c>
    </row>
    <row r="71" spans="1:43">
      <c r="A71" s="200"/>
      <c r="D71" s="201"/>
      <c r="E71" s="198" t="str">
        <f t="shared" si="0"/>
        <v/>
      </c>
      <c r="F71" s="201"/>
      <c r="G71" s="198" t="str">
        <f t="shared" si="0"/>
        <v/>
      </c>
      <c r="H71" s="201"/>
      <c r="I71" s="198" t="str">
        <f t="shared" si="1"/>
        <v/>
      </c>
      <c r="J71" s="201"/>
      <c r="K71" s="198" t="str">
        <f t="shared" si="2"/>
        <v/>
      </c>
      <c r="L71" s="201"/>
      <c r="M71" s="198" t="str">
        <f t="shared" si="3"/>
        <v/>
      </c>
      <c r="N71" s="201"/>
      <c r="O71" s="198" t="str">
        <f t="shared" si="4"/>
        <v/>
      </c>
      <c r="P71" s="201"/>
      <c r="Q71" s="198" t="str">
        <f t="shared" si="5"/>
        <v/>
      </c>
      <c r="R71" s="201"/>
      <c r="S71" s="198" t="str">
        <f t="shared" si="6"/>
        <v/>
      </c>
      <c r="T71" s="201"/>
      <c r="U71" s="198" t="str">
        <f t="shared" si="7"/>
        <v/>
      </c>
      <c r="V71" s="201"/>
      <c r="W71" s="198" t="str">
        <f t="shared" si="8"/>
        <v/>
      </c>
      <c r="X71" s="201"/>
      <c r="Y71" s="198" t="str">
        <f t="shared" si="9"/>
        <v/>
      </c>
      <c r="Z71" s="201"/>
      <c r="AA71" s="198" t="str">
        <f t="shared" si="10"/>
        <v/>
      </c>
      <c r="AB71" s="201"/>
      <c r="AC71" s="198" t="str">
        <f t="shared" si="11"/>
        <v/>
      </c>
      <c r="AD71" s="201"/>
      <c r="AE71" s="198" t="str">
        <f t="shared" si="12"/>
        <v/>
      </c>
      <c r="AF71" s="201"/>
      <c r="AG71" s="198" t="str">
        <f t="shared" si="13"/>
        <v/>
      </c>
      <c r="AH71" s="201"/>
      <c r="AI71" s="198" t="str">
        <f t="shared" si="14"/>
        <v/>
      </c>
      <c r="AJ71" s="201"/>
      <c r="AK71" s="198" t="str">
        <f t="shared" si="15"/>
        <v/>
      </c>
      <c r="AL71" s="201"/>
      <c r="AM71" s="198" t="str">
        <f t="shared" si="16"/>
        <v/>
      </c>
      <c r="AN71" s="201"/>
      <c r="AO71" s="198" t="str">
        <f t="shared" si="17"/>
        <v/>
      </c>
      <c r="AP71" s="201"/>
      <c r="AQ71" s="198" t="str">
        <f t="shared" si="18"/>
        <v/>
      </c>
    </row>
    <row r="72" spans="1:43">
      <c r="A72" s="190" t="s">
        <v>250</v>
      </c>
      <c r="B72" s="196">
        <v>0.4</v>
      </c>
      <c r="D72" s="197">
        <v>26350</v>
      </c>
      <c r="E72" s="198">
        <f t="shared" si="0"/>
        <v>65875</v>
      </c>
      <c r="F72" s="197"/>
      <c r="G72" s="198" t="str">
        <f t="shared" si="0"/>
        <v/>
      </c>
      <c r="H72" s="197"/>
      <c r="I72" s="198" t="str">
        <f t="shared" si="1"/>
        <v/>
      </c>
      <c r="J72" s="197"/>
      <c r="K72" s="198" t="str">
        <f t="shared" si="2"/>
        <v/>
      </c>
      <c r="L72" s="197"/>
      <c r="M72" s="198" t="str">
        <f t="shared" si="3"/>
        <v/>
      </c>
      <c r="N72" s="197">
        <v>65</v>
      </c>
      <c r="O72" s="198">
        <f t="shared" si="4"/>
        <v>162.5</v>
      </c>
      <c r="P72" s="197">
        <v>491</v>
      </c>
      <c r="Q72" s="198">
        <f t="shared" si="5"/>
        <v>1227.5</v>
      </c>
      <c r="R72" s="197"/>
      <c r="S72" s="198" t="str">
        <f t="shared" si="6"/>
        <v/>
      </c>
      <c r="T72" s="197"/>
      <c r="U72" s="198" t="str">
        <f t="shared" si="7"/>
        <v/>
      </c>
      <c r="V72" s="197"/>
      <c r="W72" s="198" t="str">
        <f t="shared" si="8"/>
        <v/>
      </c>
      <c r="X72" s="197"/>
      <c r="Y72" s="198" t="str">
        <f t="shared" si="9"/>
        <v/>
      </c>
      <c r="Z72" s="197"/>
      <c r="AA72" s="198" t="str">
        <f t="shared" si="10"/>
        <v/>
      </c>
      <c r="AB72" s="197"/>
      <c r="AC72" s="198" t="str">
        <f t="shared" si="11"/>
        <v/>
      </c>
      <c r="AD72" s="197"/>
      <c r="AE72" s="198" t="str">
        <f t="shared" si="12"/>
        <v/>
      </c>
      <c r="AF72" s="197"/>
      <c r="AG72" s="198" t="str">
        <f t="shared" si="13"/>
        <v/>
      </c>
      <c r="AH72" s="197"/>
      <c r="AI72" s="198" t="str">
        <f t="shared" si="14"/>
        <v/>
      </c>
      <c r="AJ72" s="197"/>
      <c r="AK72" s="198" t="str">
        <f t="shared" si="15"/>
        <v/>
      </c>
      <c r="AL72" s="197"/>
      <c r="AM72" s="198" t="str">
        <f t="shared" si="16"/>
        <v/>
      </c>
      <c r="AN72" s="197">
        <v>5485</v>
      </c>
      <c r="AO72" s="198">
        <f t="shared" si="17"/>
        <v>13712.5</v>
      </c>
      <c r="AP72" s="197">
        <v>6041</v>
      </c>
      <c r="AQ72" s="198">
        <f t="shared" si="18"/>
        <v>15102.5</v>
      </c>
    </row>
    <row r="73" spans="1:43">
      <c r="A73" s="200"/>
      <c r="D73" s="201">
        <v>52669</v>
      </c>
      <c r="E73" s="198" t="str">
        <f t="shared" si="0"/>
        <v/>
      </c>
      <c r="F73" s="201"/>
      <c r="G73" s="198" t="str">
        <f t="shared" si="0"/>
        <v/>
      </c>
      <c r="H73" s="201"/>
      <c r="I73" s="198" t="str">
        <f t="shared" si="1"/>
        <v/>
      </c>
      <c r="J73" s="201"/>
      <c r="K73" s="198" t="str">
        <f t="shared" si="2"/>
        <v/>
      </c>
      <c r="L73" s="201"/>
      <c r="M73" s="198" t="str">
        <f t="shared" si="3"/>
        <v/>
      </c>
      <c r="N73" s="201"/>
      <c r="O73" s="198" t="str">
        <f t="shared" si="4"/>
        <v/>
      </c>
      <c r="P73" s="201"/>
      <c r="Q73" s="198" t="str">
        <f t="shared" si="5"/>
        <v/>
      </c>
      <c r="R73" s="201"/>
      <c r="S73" s="198" t="str">
        <f t="shared" si="6"/>
        <v/>
      </c>
      <c r="T73" s="201"/>
      <c r="U73" s="198" t="str">
        <f t="shared" si="7"/>
        <v/>
      </c>
      <c r="V73" s="201"/>
      <c r="W73" s="198" t="str">
        <f t="shared" si="8"/>
        <v/>
      </c>
      <c r="X73" s="201"/>
      <c r="Y73" s="198" t="str">
        <f t="shared" si="9"/>
        <v/>
      </c>
      <c r="Z73" s="201"/>
      <c r="AA73" s="198" t="str">
        <f t="shared" si="10"/>
        <v/>
      </c>
      <c r="AB73" s="201">
        <v>6490</v>
      </c>
      <c r="AC73" s="198" t="str">
        <f t="shared" si="11"/>
        <v/>
      </c>
      <c r="AD73" s="201"/>
      <c r="AE73" s="198" t="str">
        <f t="shared" si="12"/>
        <v/>
      </c>
      <c r="AF73" s="201"/>
      <c r="AG73" s="198" t="str">
        <f t="shared" si="13"/>
        <v/>
      </c>
      <c r="AH73" s="201"/>
      <c r="AI73" s="198" t="str">
        <f t="shared" si="14"/>
        <v/>
      </c>
      <c r="AJ73" s="201"/>
      <c r="AK73" s="198" t="str">
        <f t="shared" si="15"/>
        <v/>
      </c>
      <c r="AL73" s="201"/>
      <c r="AM73" s="198" t="str">
        <f t="shared" si="16"/>
        <v/>
      </c>
      <c r="AN73" s="201"/>
      <c r="AO73" s="198" t="str">
        <f t="shared" si="17"/>
        <v/>
      </c>
      <c r="AP73" s="201">
        <v>6490</v>
      </c>
      <c r="AQ73" s="198" t="str">
        <f t="shared" si="18"/>
        <v/>
      </c>
    </row>
    <row r="74" spans="1:43">
      <c r="A74" s="190" t="s">
        <v>251</v>
      </c>
      <c r="B74" s="196">
        <v>0.22</v>
      </c>
      <c r="D74" s="197">
        <v>4165</v>
      </c>
      <c r="E74" s="198">
        <f t="shared" si="0"/>
        <v>18931.81818181818</v>
      </c>
      <c r="F74" s="197"/>
      <c r="G74" s="198" t="str">
        <f t="shared" si="0"/>
        <v/>
      </c>
      <c r="H74" s="197"/>
      <c r="I74" s="198" t="str">
        <f t="shared" si="1"/>
        <v/>
      </c>
      <c r="J74" s="197"/>
      <c r="K74" s="198" t="str">
        <f t="shared" si="2"/>
        <v/>
      </c>
      <c r="L74" s="197"/>
      <c r="M74" s="198" t="str">
        <f t="shared" si="3"/>
        <v/>
      </c>
      <c r="N74" s="197">
        <v>3</v>
      </c>
      <c r="O74" s="198">
        <f t="shared" si="4"/>
        <v>13.636363636363637</v>
      </c>
      <c r="P74" s="197">
        <v>302</v>
      </c>
      <c r="Q74" s="198">
        <f t="shared" si="5"/>
        <v>1372.7272727272727</v>
      </c>
      <c r="R74" s="197">
        <v>17</v>
      </c>
      <c r="S74" s="198">
        <f t="shared" si="6"/>
        <v>77.272727272727266</v>
      </c>
      <c r="T74" s="197"/>
      <c r="U74" s="198" t="str">
        <f t="shared" si="7"/>
        <v/>
      </c>
      <c r="V74" s="197">
        <v>102</v>
      </c>
      <c r="W74" s="198">
        <f t="shared" si="8"/>
        <v>463.63636363636363</v>
      </c>
      <c r="X74" s="197"/>
      <c r="Y74" s="198" t="str">
        <f t="shared" si="9"/>
        <v/>
      </c>
      <c r="Z74" s="197"/>
      <c r="AA74" s="198" t="str">
        <f t="shared" si="10"/>
        <v/>
      </c>
      <c r="AB74" s="197"/>
      <c r="AC74" s="198" t="str">
        <f t="shared" si="11"/>
        <v/>
      </c>
      <c r="AD74" s="197"/>
      <c r="AE74" s="198" t="str">
        <f t="shared" si="12"/>
        <v/>
      </c>
      <c r="AF74" s="197"/>
      <c r="AG74" s="198" t="str">
        <f t="shared" si="13"/>
        <v/>
      </c>
      <c r="AH74" s="197"/>
      <c r="AI74" s="198" t="str">
        <f t="shared" si="14"/>
        <v/>
      </c>
      <c r="AJ74" s="197">
        <v>659</v>
      </c>
      <c r="AK74" s="198">
        <f t="shared" si="15"/>
        <v>2995.4545454545455</v>
      </c>
      <c r="AL74" s="197"/>
      <c r="AM74" s="198" t="str">
        <f t="shared" si="16"/>
        <v/>
      </c>
      <c r="AN74" s="197"/>
      <c r="AO74" s="198" t="str">
        <f t="shared" si="17"/>
        <v/>
      </c>
      <c r="AP74" s="197">
        <v>1083</v>
      </c>
      <c r="AQ74" s="198">
        <f t="shared" si="18"/>
        <v>4922.727272727273</v>
      </c>
    </row>
    <row r="75" spans="1:43">
      <c r="A75" s="200"/>
      <c r="B75">
        <v>0.23</v>
      </c>
      <c r="D75" s="201"/>
      <c r="E75" s="198" t="str">
        <f t="shared" si="0"/>
        <v/>
      </c>
      <c r="F75" s="201"/>
      <c r="G75" s="198" t="str">
        <f t="shared" si="0"/>
        <v/>
      </c>
      <c r="H75" s="201"/>
      <c r="I75" s="198" t="str">
        <f t="shared" si="1"/>
        <v/>
      </c>
      <c r="J75" s="201"/>
      <c r="K75" s="198" t="str">
        <f t="shared" si="2"/>
        <v/>
      </c>
      <c r="L75" s="201"/>
      <c r="M75" s="198" t="str">
        <f t="shared" si="3"/>
        <v/>
      </c>
      <c r="N75" s="201"/>
      <c r="O75" s="198" t="str">
        <f t="shared" si="4"/>
        <v/>
      </c>
      <c r="P75" s="201"/>
      <c r="Q75" s="198" t="str">
        <f t="shared" si="5"/>
        <v/>
      </c>
      <c r="R75" s="201"/>
      <c r="S75" s="198" t="str">
        <f t="shared" si="6"/>
        <v/>
      </c>
      <c r="T75" s="201"/>
      <c r="U75" s="198" t="str">
        <f t="shared" si="7"/>
        <v/>
      </c>
      <c r="V75" s="201"/>
      <c r="W75" s="198" t="str">
        <f t="shared" si="8"/>
        <v/>
      </c>
      <c r="X75" s="201"/>
      <c r="Y75" s="198" t="str">
        <f t="shared" si="9"/>
        <v/>
      </c>
      <c r="Z75" s="201"/>
      <c r="AA75" s="198" t="str">
        <f t="shared" si="10"/>
        <v/>
      </c>
      <c r="AB75" s="201"/>
      <c r="AC75" s="198" t="str">
        <f t="shared" si="11"/>
        <v/>
      </c>
      <c r="AD75" s="201"/>
      <c r="AE75" s="198" t="str">
        <f t="shared" si="12"/>
        <v/>
      </c>
      <c r="AF75" s="201"/>
      <c r="AG75" s="198" t="str">
        <f t="shared" si="13"/>
        <v/>
      </c>
      <c r="AH75" s="201"/>
      <c r="AI75" s="198" t="str">
        <f t="shared" si="14"/>
        <v/>
      </c>
      <c r="AJ75" s="201"/>
      <c r="AK75" s="198" t="str">
        <f t="shared" si="15"/>
        <v/>
      </c>
      <c r="AL75" s="201"/>
      <c r="AM75" s="198" t="str">
        <f t="shared" si="16"/>
        <v/>
      </c>
      <c r="AN75" s="201"/>
      <c r="AO75" s="198" t="str">
        <f t="shared" si="17"/>
        <v/>
      </c>
      <c r="AP75" s="201"/>
      <c r="AQ75" s="198" t="str">
        <f t="shared" si="18"/>
        <v/>
      </c>
    </row>
    <row r="76" spans="1:43">
      <c r="A76" s="200"/>
      <c r="B76">
        <v>0.01</v>
      </c>
      <c r="D76" s="201"/>
      <c r="E76" s="198" t="str">
        <f t="shared" si="0"/>
        <v/>
      </c>
      <c r="F76" s="201"/>
      <c r="G76" s="198" t="str">
        <f t="shared" si="0"/>
        <v/>
      </c>
      <c r="H76" s="201"/>
      <c r="I76" s="198" t="str">
        <f t="shared" si="1"/>
        <v/>
      </c>
      <c r="J76" s="201">
        <v>2359</v>
      </c>
      <c r="K76" s="198">
        <f t="shared" si="2"/>
        <v>235900</v>
      </c>
      <c r="L76" s="201"/>
      <c r="M76" s="198" t="str">
        <f t="shared" si="3"/>
        <v/>
      </c>
      <c r="N76" s="201"/>
      <c r="O76" s="198" t="str">
        <f t="shared" si="4"/>
        <v/>
      </c>
      <c r="P76" s="201">
        <v>16</v>
      </c>
      <c r="Q76" s="198">
        <f t="shared" si="5"/>
        <v>1600</v>
      </c>
      <c r="R76" s="201"/>
      <c r="S76" s="198" t="str">
        <f t="shared" si="6"/>
        <v/>
      </c>
      <c r="T76" s="201"/>
      <c r="U76" s="198" t="str">
        <f t="shared" si="7"/>
        <v/>
      </c>
      <c r="V76" s="201"/>
      <c r="W76" s="198" t="str">
        <f t="shared" si="8"/>
        <v/>
      </c>
      <c r="X76" s="201"/>
      <c r="Y76" s="198" t="str">
        <f t="shared" si="9"/>
        <v/>
      </c>
      <c r="Z76" s="201"/>
      <c r="AA76" s="198" t="str">
        <f t="shared" si="10"/>
        <v/>
      </c>
      <c r="AB76" s="201"/>
      <c r="AC76" s="198" t="str">
        <f t="shared" si="11"/>
        <v/>
      </c>
      <c r="AD76" s="201"/>
      <c r="AE76" s="198" t="str">
        <f t="shared" si="12"/>
        <v/>
      </c>
      <c r="AF76" s="201"/>
      <c r="AG76" s="198" t="str">
        <f t="shared" si="13"/>
        <v/>
      </c>
      <c r="AH76" s="201"/>
      <c r="AI76" s="198" t="str">
        <f t="shared" si="14"/>
        <v/>
      </c>
      <c r="AJ76" s="201"/>
      <c r="AK76" s="198" t="str">
        <f t="shared" si="15"/>
        <v/>
      </c>
      <c r="AL76" s="201"/>
      <c r="AM76" s="198" t="str">
        <f t="shared" si="16"/>
        <v/>
      </c>
      <c r="AN76" s="201"/>
      <c r="AO76" s="198" t="str">
        <f t="shared" si="17"/>
        <v/>
      </c>
      <c r="AP76" s="201">
        <v>2375</v>
      </c>
      <c r="AQ76" s="198">
        <f t="shared" si="18"/>
        <v>237500</v>
      </c>
    </row>
    <row r="77" spans="1:43">
      <c r="A77" s="200"/>
      <c r="B77">
        <v>2.3199999999999998</v>
      </c>
      <c r="D77" s="201"/>
      <c r="E77" s="198" t="str">
        <f t="shared" ref="E77:G140" si="19">IF(OR($B77=0,D77=0),"",D77/$B77)</f>
        <v/>
      </c>
      <c r="F77" s="201"/>
      <c r="G77" s="198" t="str">
        <f t="shared" si="19"/>
        <v/>
      </c>
      <c r="H77" s="201"/>
      <c r="I77" s="198" t="str">
        <f t="shared" ref="I77:I140" si="20">IF(OR($B77=0,H77=0),"",H77/$B77)</f>
        <v/>
      </c>
      <c r="J77" s="201"/>
      <c r="K77" s="198" t="str">
        <f t="shared" ref="K77:K140" si="21">IF(OR($B77=0,J77=0),"",J77/$B77)</f>
        <v/>
      </c>
      <c r="L77" s="201"/>
      <c r="M77" s="198" t="str">
        <f t="shared" ref="M77:M140" si="22">IF(OR($B77=0,L77=0),"",L77/$B77)</f>
        <v/>
      </c>
      <c r="N77" s="201"/>
      <c r="O77" s="198" t="str">
        <f t="shared" ref="O77:O140" si="23">IF(OR($B77=0,N77=0),"",N77/$B77)</f>
        <v/>
      </c>
      <c r="P77" s="201">
        <v>1796</v>
      </c>
      <c r="Q77" s="198">
        <f t="shared" ref="Q77:Q140" si="24">IF(OR($B77=0,P77=0),"",P77/$B77)</f>
        <v>774.13793103448279</v>
      </c>
      <c r="R77" s="201"/>
      <c r="S77" s="198" t="str">
        <f t="shared" ref="S77:S140" si="25">IF(OR($B77=0,R77=0),"",R77/$B77)</f>
        <v/>
      </c>
      <c r="T77" s="201"/>
      <c r="U77" s="198" t="str">
        <f t="shared" ref="U77:U140" si="26">IF(OR($B77=0,T77=0),"",T77/$B77)</f>
        <v/>
      </c>
      <c r="V77" s="201"/>
      <c r="W77" s="198" t="str">
        <f t="shared" ref="W77:W140" si="27">IF(OR($B77=0,V77=0),"",V77/$B77)</f>
        <v/>
      </c>
      <c r="X77" s="201"/>
      <c r="Y77" s="198" t="str">
        <f t="shared" ref="Y77:Y140" si="28">IF(OR($B77=0,X77=0),"",X77/$B77)</f>
        <v/>
      </c>
      <c r="Z77" s="201"/>
      <c r="AA77" s="198" t="str">
        <f t="shared" ref="AA77:AA140" si="29">IF(OR($B77=0,Z77=0),"",Z77/$B77)</f>
        <v/>
      </c>
      <c r="AB77" s="201"/>
      <c r="AC77" s="198" t="str">
        <f t="shared" ref="AC77:AC140" si="30">IF(OR($B77=0,AB77=0),"",AB77/$B77)</f>
        <v/>
      </c>
      <c r="AD77" s="201"/>
      <c r="AE77" s="198" t="str">
        <f t="shared" ref="AE77:AE140" si="31">IF(OR($B77=0,AD77=0),"",AD77/$B77)</f>
        <v/>
      </c>
      <c r="AF77" s="201"/>
      <c r="AG77" s="198" t="str">
        <f t="shared" ref="AG77:AG140" si="32">IF(OR($B77=0,AF77=0),"",AF77/$B77)</f>
        <v/>
      </c>
      <c r="AH77" s="201"/>
      <c r="AI77" s="198" t="str">
        <f t="shared" ref="AI77:AI140" si="33">IF(OR($B77=0,AH77=0),"",AH77/$B77)</f>
        <v/>
      </c>
      <c r="AJ77" s="201"/>
      <c r="AK77" s="198" t="str">
        <f t="shared" ref="AK77:AK140" si="34">IF(OR($B77=0,AJ77=0),"",AJ77/$B77)</f>
        <v/>
      </c>
      <c r="AL77" s="201"/>
      <c r="AM77" s="198" t="str">
        <f t="shared" ref="AM77:AM140" si="35">IF(OR($B77=0,AL77=0),"",AL77/$B77)</f>
        <v/>
      </c>
      <c r="AN77" s="201"/>
      <c r="AO77" s="198" t="str">
        <f t="shared" ref="AO77:AO140" si="36">IF(OR($B77=0,AN77=0),"",AN77/$B77)</f>
        <v/>
      </c>
      <c r="AP77" s="201">
        <v>1796</v>
      </c>
      <c r="AQ77" s="198">
        <f t="shared" ref="AQ77:AQ140" si="37">IF(OR($B77=0,AP77=0),"",AP77/$B77)</f>
        <v>774.13793103448279</v>
      </c>
    </row>
    <row r="78" spans="1:43">
      <c r="A78" s="200"/>
      <c r="B78">
        <v>0.02</v>
      </c>
      <c r="D78" s="201"/>
      <c r="E78" s="198" t="str">
        <f t="shared" si="19"/>
        <v/>
      </c>
      <c r="F78" s="201"/>
      <c r="G78" s="198" t="str">
        <f t="shared" si="19"/>
        <v/>
      </c>
      <c r="H78" s="201"/>
      <c r="I78" s="198" t="str">
        <f t="shared" si="20"/>
        <v/>
      </c>
      <c r="J78" s="201">
        <v>60116</v>
      </c>
      <c r="K78" s="198">
        <f t="shared" si="21"/>
        <v>3005800</v>
      </c>
      <c r="L78" s="201"/>
      <c r="M78" s="198" t="str">
        <f t="shared" si="22"/>
        <v/>
      </c>
      <c r="N78" s="201"/>
      <c r="O78" s="198" t="str">
        <f t="shared" si="23"/>
        <v/>
      </c>
      <c r="P78" s="201">
        <v>848</v>
      </c>
      <c r="Q78" s="198">
        <f t="shared" si="24"/>
        <v>42400</v>
      </c>
      <c r="R78" s="201"/>
      <c r="S78" s="198" t="str">
        <f t="shared" si="25"/>
        <v/>
      </c>
      <c r="T78" s="201"/>
      <c r="U78" s="198" t="str">
        <f t="shared" si="26"/>
        <v/>
      </c>
      <c r="V78" s="201"/>
      <c r="W78" s="198" t="str">
        <f t="shared" si="27"/>
        <v/>
      </c>
      <c r="X78" s="201"/>
      <c r="Y78" s="198" t="str">
        <f t="shared" si="28"/>
        <v/>
      </c>
      <c r="Z78" s="201"/>
      <c r="AA78" s="198" t="str">
        <f t="shared" si="29"/>
        <v/>
      </c>
      <c r="AB78" s="201"/>
      <c r="AC78" s="198" t="str">
        <f t="shared" si="30"/>
        <v/>
      </c>
      <c r="AD78" s="201"/>
      <c r="AE78" s="198" t="str">
        <f t="shared" si="31"/>
        <v/>
      </c>
      <c r="AF78" s="201"/>
      <c r="AG78" s="198" t="str">
        <f t="shared" si="32"/>
        <v/>
      </c>
      <c r="AH78" s="201"/>
      <c r="AI78" s="198" t="str">
        <f t="shared" si="33"/>
        <v/>
      </c>
      <c r="AJ78" s="201"/>
      <c r="AK78" s="198" t="str">
        <f t="shared" si="34"/>
        <v/>
      </c>
      <c r="AL78" s="201"/>
      <c r="AM78" s="198" t="str">
        <f t="shared" si="35"/>
        <v/>
      </c>
      <c r="AN78" s="201"/>
      <c r="AO78" s="198" t="str">
        <f t="shared" si="36"/>
        <v/>
      </c>
      <c r="AP78" s="201">
        <v>60964</v>
      </c>
      <c r="AQ78" s="198">
        <f t="shared" si="37"/>
        <v>3048200</v>
      </c>
    </row>
    <row r="79" spans="1:43">
      <c r="A79" s="200"/>
      <c r="B79">
        <v>0.31</v>
      </c>
      <c r="D79" s="201"/>
      <c r="E79" s="198" t="str">
        <f t="shared" si="19"/>
        <v/>
      </c>
      <c r="F79" s="201"/>
      <c r="G79" s="198" t="str">
        <f t="shared" si="19"/>
        <v/>
      </c>
      <c r="H79" s="201"/>
      <c r="I79" s="198" t="str">
        <f t="shared" si="20"/>
        <v/>
      </c>
      <c r="J79" s="201"/>
      <c r="K79" s="198" t="str">
        <f t="shared" si="21"/>
        <v/>
      </c>
      <c r="L79" s="201"/>
      <c r="M79" s="198" t="str">
        <f t="shared" si="22"/>
        <v/>
      </c>
      <c r="N79" s="201"/>
      <c r="O79" s="198" t="str">
        <f t="shared" si="23"/>
        <v/>
      </c>
      <c r="P79" s="201">
        <v>1033</v>
      </c>
      <c r="Q79" s="198">
        <f t="shared" si="24"/>
        <v>3332.2580645161293</v>
      </c>
      <c r="R79" s="201"/>
      <c r="S79" s="198" t="str">
        <f t="shared" si="25"/>
        <v/>
      </c>
      <c r="T79" s="201"/>
      <c r="U79" s="198" t="str">
        <f t="shared" si="26"/>
        <v/>
      </c>
      <c r="V79" s="201"/>
      <c r="W79" s="198" t="str">
        <f t="shared" si="27"/>
        <v/>
      </c>
      <c r="X79" s="201"/>
      <c r="Y79" s="198" t="str">
        <f t="shared" si="28"/>
        <v/>
      </c>
      <c r="Z79" s="201"/>
      <c r="AA79" s="198" t="str">
        <f t="shared" si="29"/>
        <v/>
      </c>
      <c r="AB79" s="201"/>
      <c r="AC79" s="198" t="str">
        <f t="shared" si="30"/>
        <v/>
      </c>
      <c r="AD79" s="201"/>
      <c r="AE79" s="198" t="str">
        <f t="shared" si="31"/>
        <v/>
      </c>
      <c r="AF79" s="201"/>
      <c r="AG79" s="198" t="str">
        <f t="shared" si="32"/>
        <v/>
      </c>
      <c r="AH79" s="201"/>
      <c r="AI79" s="198" t="str">
        <f t="shared" si="33"/>
        <v/>
      </c>
      <c r="AJ79" s="201"/>
      <c r="AK79" s="198" t="str">
        <f t="shared" si="34"/>
        <v/>
      </c>
      <c r="AL79" s="201"/>
      <c r="AM79" s="198" t="str">
        <f t="shared" si="35"/>
        <v/>
      </c>
      <c r="AN79" s="201"/>
      <c r="AO79" s="198" t="str">
        <f t="shared" si="36"/>
        <v/>
      </c>
      <c r="AP79" s="201">
        <v>1033</v>
      </c>
      <c r="AQ79" s="198">
        <f t="shared" si="37"/>
        <v>3332.2580645161293</v>
      </c>
    </row>
    <row r="80" spans="1:43">
      <c r="A80" s="200"/>
      <c r="B80">
        <v>0.04</v>
      </c>
      <c r="D80" s="201"/>
      <c r="E80" s="198" t="str">
        <f t="shared" si="19"/>
        <v/>
      </c>
      <c r="F80" s="201"/>
      <c r="G80" s="198" t="str">
        <f t="shared" si="19"/>
        <v/>
      </c>
      <c r="H80" s="201"/>
      <c r="I80" s="198" t="str">
        <f t="shared" si="20"/>
        <v/>
      </c>
      <c r="J80" s="201"/>
      <c r="K80" s="198" t="str">
        <f t="shared" si="21"/>
        <v/>
      </c>
      <c r="L80" s="201"/>
      <c r="M80" s="198" t="str">
        <f t="shared" si="22"/>
        <v/>
      </c>
      <c r="N80" s="201"/>
      <c r="O80" s="198" t="str">
        <f t="shared" si="23"/>
        <v/>
      </c>
      <c r="P80" s="201">
        <v>123</v>
      </c>
      <c r="Q80" s="198">
        <f t="shared" si="24"/>
        <v>3075</v>
      </c>
      <c r="R80" s="201"/>
      <c r="S80" s="198" t="str">
        <f t="shared" si="25"/>
        <v/>
      </c>
      <c r="T80" s="201"/>
      <c r="U80" s="198" t="str">
        <f t="shared" si="26"/>
        <v/>
      </c>
      <c r="V80" s="201"/>
      <c r="W80" s="198" t="str">
        <f t="shared" si="27"/>
        <v/>
      </c>
      <c r="X80" s="201"/>
      <c r="Y80" s="198" t="str">
        <f t="shared" si="28"/>
        <v/>
      </c>
      <c r="Z80" s="201"/>
      <c r="AA80" s="198" t="str">
        <f t="shared" si="29"/>
        <v/>
      </c>
      <c r="AB80" s="201"/>
      <c r="AC80" s="198" t="str">
        <f t="shared" si="30"/>
        <v/>
      </c>
      <c r="AD80" s="201"/>
      <c r="AE80" s="198" t="str">
        <f t="shared" si="31"/>
        <v/>
      </c>
      <c r="AF80" s="201"/>
      <c r="AG80" s="198" t="str">
        <f t="shared" si="32"/>
        <v/>
      </c>
      <c r="AH80" s="201"/>
      <c r="AI80" s="198" t="str">
        <f t="shared" si="33"/>
        <v/>
      </c>
      <c r="AJ80" s="201"/>
      <c r="AK80" s="198" t="str">
        <f t="shared" si="34"/>
        <v/>
      </c>
      <c r="AL80" s="201"/>
      <c r="AM80" s="198" t="str">
        <f t="shared" si="35"/>
        <v/>
      </c>
      <c r="AN80" s="201"/>
      <c r="AO80" s="198" t="str">
        <f t="shared" si="36"/>
        <v/>
      </c>
      <c r="AP80" s="201">
        <v>123</v>
      </c>
      <c r="AQ80" s="198">
        <f t="shared" si="37"/>
        <v>3075</v>
      </c>
    </row>
    <row r="81" spans="1:43">
      <c r="A81" s="200"/>
      <c r="B81">
        <v>0.7</v>
      </c>
      <c r="D81" s="201"/>
      <c r="E81" s="198" t="str">
        <f t="shared" si="19"/>
        <v/>
      </c>
      <c r="F81" s="201"/>
      <c r="G81" s="198" t="str">
        <f t="shared" si="19"/>
        <v/>
      </c>
      <c r="H81" s="201"/>
      <c r="I81" s="198" t="str">
        <f t="shared" si="20"/>
        <v/>
      </c>
      <c r="J81" s="201"/>
      <c r="K81" s="198" t="str">
        <f t="shared" si="21"/>
        <v/>
      </c>
      <c r="L81" s="201"/>
      <c r="M81" s="198" t="str">
        <f t="shared" si="22"/>
        <v/>
      </c>
      <c r="N81" s="201"/>
      <c r="O81" s="198" t="str">
        <f t="shared" si="23"/>
        <v/>
      </c>
      <c r="P81" s="201"/>
      <c r="Q81" s="198" t="str">
        <f t="shared" si="24"/>
        <v/>
      </c>
      <c r="R81" s="201"/>
      <c r="S81" s="198" t="str">
        <f t="shared" si="25"/>
        <v/>
      </c>
      <c r="T81" s="201"/>
      <c r="U81" s="198" t="str">
        <f t="shared" si="26"/>
        <v/>
      </c>
      <c r="V81" s="201"/>
      <c r="W81" s="198" t="str">
        <f t="shared" si="27"/>
        <v/>
      </c>
      <c r="X81" s="201"/>
      <c r="Y81" s="198" t="str">
        <f t="shared" si="28"/>
        <v/>
      </c>
      <c r="Z81" s="201"/>
      <c r="AA81" s="198" t="str">
        <f t="shared" si="29"/>
        <v/>
      </c>
      <c r="AB81" s="201"/>
      <c r="AC81" s="198" t="str">
        <f t="shared" si="30"/>
        <v/>
      </c>
      <c r="AD81" s="201"/>
      <c r="AE81" s="198" t="str">
        <f t="shared" si="31"/>
        <v/>
      </c>
      <c r="AF81" s="201"/>
      <c r="AG81" s="198" t="str">
        <f t="shared" si="32"/>
        <v/>
      </c>
      <c r="AH81" s="201"/>
      <c r="AI81" s="198" t="str">
        <f t="shared" si="33"/>
        <v/>
      </c>
      <c r="AJ81" s="201"/>
      <c r="AK81" s="198" t="str">
        <f t="shared" si="34"/>
        <v/>
      </c>
      <c r="AL81" s="201"/>
      <c r="AM81" s="198" t="str">
        <f t="shared" si="35"/>
        <v/>
      </c>
      <c r="AN81" s="201"/>
      <c r="AO81" s="198" t="str">
        <f t="shared" si="36"/>
        <v/>
      </c>
      <c r="AP81" s="201"/>
      <c r="AQ81" s="198" t="str">
        <f t="shared" si="37"/>
        <v/>
      </c>
    </row>
    <row r="82" spans="1:43">
      <c r="A82" s="200"/>
      <c r="B82">
        <v>2.86</v>
      </c>
      <c r="D82" s="201">
        <v>31504</v>
      </c>
      <c r="E82" s="198">
        <f t="shared" si="19"/>
        <v>11015.384615384615</v>
      </c>
      <c r="F82" s="201"/>
      <c r="G82" s="198" t="str">
        <f t="shared" si="19"/>
        <v/>
      </c>
      <c r="H82" s="201"/>
      <c r="I82" s="198" t="str">
        <f t="shared" si="20"/>
        <v/>
      </c>
      <c r="J82" s="201"/>
      <c r="K82" s="198" t="str">
        <f t="shared" si="21"/>
        <v/>
      </c>
      <c r="L82" s="201"/>
      <c r="M82" s="198" t="str">
        <f t="shared" si="22"/>
        <v/>
      </c>
      <c r="N82" s="201">
        <v>279</v>
      </c>
      <c r="O82" s="198">
        <f t="shared" si="23"/>
        <v>97.55244755244756</v>
      </c>
      <c r="P82" s="201">
        <v>3110</v>
      </c>
      <c r="Q82" s="198">
        <f t="shared" si="24"/>
        <v>1087.4125874125875</v>
      </c>
      <c r="R82" s="201"/>
      <c r="S82" s="198" t="str">
        <f t="shared" si="25"/>
        <v/>
      </c>
      <c r="T82" s="201"/>
      <c r="U82" s="198" t="str">
        <f t="shared" si="26"/>
        <v/>
      </c>
      <c r="V82" s="201"/>
      <c r="W82" s="198" t="str">
        <f t="shared" si="27"/>
        <v/>
      </c>
      <c r="X82" s="201"/>
      <c r="Y82" s="198" t="str">
        <f t="shared" si="28"/>
        <v/>
      </c>
      <c r="Z82" s="201"/>
      <c r="AA82" s="198" t="str">
        <f t="shared" si="29"/>
        <v/>
      </c>
      <c r="AB82" s="201"/>
      <c r="AC82" s="198" t="str">
        <f t="shared" si="30"/>
        <v/>
      </c>
      <c r="AD82" s="201"/>
      <c r="AE82" s="198" t="str">
        <f t="shared" si="31"/>
        <v/>
      </c>
      <c r="AF82" s="201"/>
      <c r="AG82" s="198" t="str">
        <f t="shared" si="32"/>
        <v/>
      </c>
      <c r="AH82" s="201"/>
      <c r="AI82" s="198" t="str">
        <f t="shared" si="33"/>
        <v/>
      </c>
      <c r="AJ82" s="201"/>
      <c r="AK82" s="198" t="str">
        <f t="shared" si="34"/>
        <v/>
      </c>
      <c r="AL82" s="201"/>
      <c r="AM82" s="198" t="str">
        <f t="shared" si="35"/>
        <v/>
      </c>
      <c r="AN82" s="201"/>
      <c r="AO82" s="198" t="str">
        <f t="shared" si="36"/>
        <v/>
      </c>
      <c r="AP82" s="201">
        <v>3389</v>
      </c>
      <c r="AQ82" s="198">
        <f t="shared" si="37"/>
        <v>1184.9650349650351</v>
      </c>
    </row>
    <row r="83" spans="1:43">
      <c r="A83" s="190" t="s">
        <v>252</v>
      </c>
      <c r="B83" s="196">
        <v>0.43</v>
      </c>
      <c r="D83" s="197">
        <v>652</v>
      </c>
      <c r="E83" s="198">
        <f t="shared" si="19"/>
        <v>1516.2790697674418</v>
      </c>
      <c r="F83" s="197">
        <v>3</v>
      </c>
      <c r="G83" s="198">
        <f t="shared" si="19"/>
        <v>6.9767441860465116</v>
      </c>
      <c r="H83" s="197"/>
      <c r="I83" s="198" t="str">
        <f t="shared" si="20"/>
        <v/>
      </c>
      <c r="J83" s="197"/>
      <c r="K83" s="198" t="str">
        <f t="shared" si="21"/>
        <v/>
      </c>
      <c r="L83" s="197"/>
      <c r="M83" s="198" t="str">
        <f t="shared" si="22"/>
        <v/>
      </c>
      <c r="N83" s="197">
        <v>371</v>
      </c>
      <c r="O83" s="198">
        <f t="shared" si="23"/>
        <v>862.79069767441865</v>
      </c>
      <c r="P83" s="197">
        <v>2754</v>
      </c>
      <c r="Q83" s="198">
        <f t="shared" si="24"/>
        <v>6404.6511627906975</v>
      </c>
      <c r="R83" s="197"/>
      <c r="S83" s="198" t="str">
        <f t="shared" si="25"/>
        <v/>
      </c>
      <c r="T83" s="197"/>
      <c r="U83" s="198" t="str">
        <f t="shared" si="26"/>
        <v/>
      </c>
      <c r="V83" s="197">
        <v>236</v>
      </c>
      <c r="W83" s="198">
        <f t="shared" si="27"/>
        <v>548.83720930232562</v>
      </c>
      <c r="X83" s="197"/>
      <c r="Y83" s="198" t="str">
        <f t="shared" si="28"/>
        <v/>
      </c>
      <c r="Z83" s="197"/>
      <c r="AA83" s="198" t="str">
        <f t="shared" si="29"/>
        <v/>
      </c>
      <c r="AB83" s="197"/>
      <c r="AC83" s="198" t="str">
        <f t="shared" si="30"/>
        <v/>
      </c>
      <c r="AD83" s="197"/>
      <c r="AE83" s="198" t="str">
        <f t="shared" si="31"/>
        <v/>
      </c>
      <c r="AF83" s="197"/>
      <c r="AG83" s="198" t="str">
        <f t="shared" si="32"/>
        <v/>
      </c>
      <c r="AH83" s="197"/>
      <c r="AI83" s="198" t="str">
        <f t="shared" si="33"/>
        <v/>
      </c>
      <c r="AJ83" s="197">
        <v>976</v>
      </c>
      <c r="AK83" s="198">
        <f t="shared" si="34"/>
        <v>2269.7674418604652</v>
      </c>
      <c r="AL83" s="197"/>
      <c r="AM83" s="198" t="str">
        <f t="shared" si="35"/>
        <v/>
      </c>
      <c r="AN83" s="197"/>
      <c r="AO83" s="198" t="str">
        <f t="shared" si="36"/>
        <v/>
      </c>
      <c r="AP83" s="197">
        <v>4340</v>
      </c>
      <c r="AQ83" s="198">
        <f t="shared" si="37"/>
        <v>10093.023255813954</v>
      </c>
    </row>
    <row r="84" spans="1:43">
      <c r="A84" s="190" t="s">
        <v>253</v>
      </c>
      <c r="B84" s="196"/>
      <c r="D84" s="197"/>
      <c r="E84" s="198" t="str">
        <f t="shared" si="19"/>
        <v/>
      </c>
      <c r="F84" s="197"/>
      <c r="G84" s="198" t="str">
        <f t="shared" si="19"/>
        <v/>
      </c>
      <c r="H84" s="197"/>
      <c r="I84" s="198" t="str">
        <f t="shared" si="20"/>
        <v/>
      </c>
      <c r="J84" s="197"/>
      <c r="K84" s="198" t="str">
        <f t="shared" si="21"/>
        <v/>
      </c>
      <c r="L84" s="197"/>
      <c r="M84" s="198" t="str">
        <f t="shared" si="22"/>
        <v/>
      </c>
      <c r="N84" s="197"/>
      <c r="O84" s="198" t="str">
        <f t="shared" si="23"/>
        <v/>
      </c>
      <c r="P84" s="197"/>
      <c r="Q84" s="198" t="str">
        <f t="shared" si="24"/>
        <v/>
      </c>
      <c r="R84" s="197"/>
      <c r="S84" s="198" t="str">
        <f t="shared" si="25"/>
        <v/>
      </c>
      <c r="T84" s="197"/>
      <c r="U84" s="198" t="str">
        <f t="shared" si="26"/>
        <v/>
      </c>
      <c r="V84" s="197"/>
      <c r="W84" s="198" t="str">
        <f t="shared" si="27"/>
        <v/>
      </c>
      <c r="X84" s="197"/>
      <c r="Y84" s="198" t="str">
        <f t="shared" si="28"/>
        <v/>
      </c>
      <c r="Z84" s="197"/>
      <c r="AA84" s="198" t="str">
        <f t="shared" si="29"/>
        <v/>
      </c>
      <c r="AB84" s="197"/>
      <c r="AC84" s="198" t="str">
        <f t="shared" si="30"/>
        <v/>
      </c>
      <c r="AD84" s="197"/>
      <c r="AE84" s="198" t="str">
        <f t="shared" si="31"/>
        <v/>
      </c>
      <c r="AF84" s="197"/>
      <c r="AG84" s="198" t="str">
        <f t="shared" si="32"/>
        <v/>
      </c>
      <c r="AH84" s="197"/>
      <c r="AI84" s="198" t="str">
        <f t="shared" si="33"/>
        <v/>
      </c>
      <c r="AJ84" s="197"/>
      <c r="AK84" s="198" t="str">
        <f t="shared" si="34"/>
        <v/>
      </c>
      <c r="AL84" s="197"/>
      <c r="AM84" s="198" t="str">
        <f t="shared" si="35"/>
        <v/>
      </c>
      <c r="AN84" s="197"/>
      <c r="AO84" s="198" t="str">
        <f t="shared" si="36"/>
        <v/>
      </c>
      <c r="AP84" s="197"/>
      <c r="AQ84" s="198" t="str">
        <f t="shared" si="37"/>
        <v/>
      </c>
    </row>
    <row r="85" spans="1:43">
      <c r="A85" s="200"/>
      <c r="B85">
        <v>1.27</v>
      </c>
      <c r="D85" s="201"/>
      <c r="E85" s="198" t="str">
        <f t="shared" si="19"/>
        <v/>
      </c>
      <c r="F85" s="201">
        <v>133</v>
      </c>
      <c r="G85" s="198">
        <f t="shared" si="19"/>
        <v>104.72440944881889</v>
      </c>
      <c r="H85" s="201"/>
      <c r="I85" s="198" t="str">
        <f t="shared" si="20"/>
        <v/>
      </c>
      <c r="J85" s="201"/>
      <c r="K85" s="198" t="str">
        <f t="shared" si="21"/>
        <v/>
      </c>
      <c r="L85" s="201"/>
      <c r="M85" s="198" t="str">
        <f t="shared" si="22"/>
        <v/>
      </c>
      <c r="N85" s="201">
        <v>370</v>
      </c>
      <c r="O85" s="198">
        <f t="shared" si="23"/>
        <v>291.33858267716533</v>
      </c>
      <c r="P85" s="201">
        <v>3418</v>
      </c>
      <c r="Q85" s="198">
        <f t="shared" si="24"/>
        <v>2691.3385826771655</v>
      </c>
      <c r="R85" s="201"/>
      <c r="S85" s="198" t="str">
        <f t="shared" si="25"/>
        <v/>
      </c>
      <c r="T85" s="201"/>
      <c r="U85" s="198" t="str">
        <f t="shared" si="26"/>
        <v/>
      </c>
      <c r="V85" s="201"/>
      <c r="W85" s="198" t="str">
        <f t="shared" si="27"/>
        <v/>
      </c>
      <c r="X85" s="201"/>
      <c r="Y85" s="198" t="str">
        <f t="shared" si="28"/>
        <v/>
      </c>
      <c r="Z85" s="201"/>
      <c r="AA85" s="198" t="str">
        <f t="shared" si="29"/>
        <v/>
      </c>
      <c r="AB85" s="201"/>
      <c r="AC85" s="198" t="str">
        <f t="shared" si="30"/>
        <v/>
      </c>
      <c r="AD85" s="201"/>
      <c r="AE85" s="198" t="str">
        <f t="shared" si="31"/>
        <v/>
      </c>
      <c r="AF85" s="201"/>
      <c r="AG85" s="198" t="str">
        <f t="shared" si="32"/>
        <v/>
      </c>
      <c r="AH85" s="201"/>
      <c r="AI85" s="198" t="str">
        <f t="shared" si="33"/>
        <v/>
      </c>
      <c r="AJ85" s="201">
        <v>59</v>
      </c>
      <c r="AK85" s="198">
        <f t="shared" si="34"/>
        <v>46.45669291338583</v>
      </c>
      <c r="AL85" s="201"/>
      <c r="AM85" s="198" t="str">
        <f t="shared" si="35"/>
        <v/>
      </c>
      <c r="AN85" s="201"/>
      <c r="AO85" s="198" t="str">
        <f t="shared" si="36"/>
        <v/>
      </c>
      <c r="AP85" s="201">
        <v>3980</v>
      </c>
      <c r="AQ85" s="198">
        <f t="shared" si="37"/>
        <v>3133.8582677165355</v>
      </c>
    </row>
    <row r="86" spans="1:43">
      <c r="A86" s="200"/>
      <c r="B86">
        <v>1.3</v>
      </c>
      <c r="D86" s="201"/>
      <c r="E86" s="198" t="str">
        <f t="shared" si="19"/>
        <v/>
      </c>
      <c r="F86" s="201">
        <v>122</v>
      </c>
      <c r="G86" s="198">
        <f t="shared" si="19"/>
        <v>93.84615384615384</v>
      </c>
      <c r="H86" s="201"/>
      <c r="I86" s="198" t="str">
        <f t="shared" si="20"/>
        <v/>
      </c>
      <c r="J86" s="201"/>
      <c r="K86" s="198" t="str">
        <f t="shared" si="21"/>
        <v/>
      </c>
      <c r="L86" s="201"/>
      <c r="M86" s="198" t="str">
        <f t="shared" si="22"/>
        <v/>
      </c>
      <c r="N86" s="201">
        <v>336</v>
      </c>
      <c r="O86" s="198">
        <f t="shared" si="23"/>
        <v>258.46153846153845</v>
      </c>
      <c r="P86" s="201">
        <v>1244</v>
      </c>
      <c r="Q86" s="198">
        <f t="shared" si="24"/>
        <v>956.92307692307691</v>
      </c>
      <c r="R86" s="201"/>
      <c r="S86" s="198" t="str">
        <f t="shared" si="25"/>
        <v/>
      </c>
      <c r="T86" s="201"/>
      <c r="U86" s="198" t="str">
        <f t="shared" si="26"/>
        <v/>
      </c>
      <c r="V86" s="201"/>
      <c r="W86" s="198" t="str">
        <f t="shared" si="27"/>
        <v/>
      </c>
      <c r="X86" s="201"/>
      <c r="Y86" s="198" t="str">
        <f t="shared" si="28"/>
        <v/>
      </c>
      <c r="Z86" s="201"/>
      <c r="AA86" s="198" t="str">
        <f t="shared" si="29"/>
        <v/>
      </c>
      <c r="AB86" s="201"/>
      <c r="AC86" s="198" t="str">
        <f t="shared" si="30"/>
        <v/>
      </c>
      <c r="AD86" s="201"/>
      <c r="AE86" s="198" t="str">
        <f t="shared" si="31"/>
        <v/>
      </c>
      <c r="AF86" s="201"/>
      <c r="AG86" s="198" t="str">
        <f t="shared" si="32"/>
        <v/>
      </c>
      <c r="AH86" s="201"/>
      <c r="AI86" s="198" t="str">
        <f t="shared" si="33"/>
        <v/>
      </c>
      <c r="AJ86" s="201">
        <v>52</v>
      </c>
      <c r="AK86" s="198">
        <f t="shared" si="34"/>
        <v>40</v>
      </c>
      <c r="AL86" s="201"/>
      <c r="AM86" s="198" t="str">
        <f t="shared" si="35"/>
        <v/>
      </c>
      <c r="AN86" s="201"/>
      <c r="AO86" s="198" t="str">
        <f t="shared" si="36"/>
        <v/>
      </c>
      <c r="AP86" s="201">
        <v>1754</v>
      </c>
      <c r="AQ86" s="198">
        <f t="shared" si="37"/>
        <v>1349.2307692307693</v>
      </c>
    </row>
    <row r="87" spans="1:43">
      <c r="A87" s="190" t="s">
        <v>254</v>
      </c>
      <c r="B87" s="196">
        <v>0.5</v>
      </c>
      <c r="D87" s="197"/>
      <c r="E87" s="198" t="str">
        <f t="shared" si="19"/>
        <v/>
      </c>
      <c r="F87" s="197"/>
      <c r="G87" s="198" t="str">
        <f t="shared" si="19"/>
        <v/>
      </c>
      <c r="H87" s="197"/>
      <c r="I87" s="198" t="str">
        <f t="shared" si="20"/>
        <v/>
      </c>
      <c r="J87" s="197"/>
      <c r="K87" s="198" t="str">
        <f t="shared" si="21"/>
        <v/>
      </c>
      <c r="L87" s="197"/>
      <c r="M87" s="198" t="str">
        <f t="shared" si="22"/>
        <v/>
      </c>
      <c r="N87" s="197"/>
      <c r="O87" s="198" t="str">
        <f t="shared" si="23"/>
        <v/>
      </c>
      <c r="P87" s="197"/>
      <c r="Q87" s="198" t="str">
        <f t="shared" si="24"/>
        <v/>
      </c>
      <c r="R87" s="197"/>
      <c r="S87" s="198" t="str">
        <f t="shared" si="25"/>
        <v/>
      </c>
      <c r="T87" s="197"/>
      <c r="U87" s="198" t="str">
        <f t="shared" si="26"/>
        <v/>
      </c>
      <c r="V87" s="197"/>
      <c r="W87" s="198" t="str">
        <f t="shared" si="27"/>
        <v/>
      </c>
      <c r="X87" s="197"/>
      <c r="Y87" s="198" t="str">
        <f t="shared" si="28"/>
        <v/>
      </c>
      <c r="Z87" s="197"/>
      <c r="AA87" s="198" t="str">
        <f t="shared" si="29"/>
        <v/>
      </c>
      <c r="AB87" s="197"/>
      <c r="AC87" s="198" t="str">
        <f t="shared" si="30"/>
        <v/>
      </c>
      <c r="AD87" s="197"/>
      <c r="AE87" s="198" t="str">
        <f t="shared" si="31"/>
        <v/>
      </c>
      <c r="AF87" s="197"/>
      <c r="AG87" s="198" t="str">
        <f t="shared" si="32"/>
        <v/>
      </c>
      <c r="AH87" s="197"/>
      <c r="AI87" s="198" t="str">
        <f t="shared" si="33"/>
        <v/>
      </c>
      <c r="AJ87" s="197"/>
      <c r="AK87" s="198" t="str">
        <f t="shared" si="34"/>
        <v/>
      </c>
      <c r="AL87" s="197"/>
      <c r="AM87" s="198" t="str">
        <f t="shared" si="35"/>
        <v/>
      </c>
      <c r="AN87" s="197"/>
      <c r="AO87" s="198" t="str">
        <f t="shared" si="36"/>
        <v/>
      </c>
      <c r="AP87" s="197"/>
      <c r="AQ87" s="198" t="str">
        <f t="shared" si="37"/>
        <v/>
      </c>
    </row>
    <row r="88" spans="1:43">
      <c r="A88" s="200"/>
      <c r="D88" s="201"/>
      <c r="E88" s="198" t="str">
        <f t="shared" si="19"/>
        <v/>
      </c>
      <c r="F88" s="201"/>
      <c r="G88" s="198" t="str">
        <f t="shared" si="19"/>
        <v/>
      </c>
      <c r="H88" s="201"/>
      <c r="I88" s="198" t="str">
        <f t="shared" si="20"/>
        <v/>
      </c>
      <c r="J88" s="201"/>
      <c r="K88" s="198" t="str">
        <f t="shared" si="21"/>
        <v/>
      </c>
      <c r="L88" s="201"/>
      <c r="M88" s="198" t="str">
        <f t="shared" si="22"/>
        <v/>
      </c>
      <c r="N88" s="201"/>
      <c r="O88" s="198" t="str">
        <f t="shared" si="23"/>
        <v/>
      </c>
      <c r="P88" s="201"/>
      <c r="Q88" s="198" t="str">
        <f t="shared" si="24"/>
        <v/>
      </c>
      <c r="R88" s="201"/>
      <c r="S88" s="198" t="str">
        <f t="shared" si="25"/>
        <v/>
      </c>
      <c r="T88" s="201"/>
      <c r="U88" s="198" t="str">
        <f t="shared" si="26"/>
        <v/>
      </c>
      <c r="V88" s="201"/>
      <c r="W88" s="198" t="str">
        <f t="shared" si="27"/>
        <v/>
      </c>
      <c r="X88" s="201"/>
      <c r="Y88" s="198" t="str">
        <f t="shared" si="28"/>
        <v/>
      </c>
      <c r="Z88" s="201"/>
      <c r="AA88" s="198" t="str">
        <f t="shared" si="29"/>
        <v/>
      </c>
      <c r="AB88" s="201"/>
      <c r="AC88" s="198" t="str">
        <f t="shared" si="30"/>
        <v/>
      </c>
      <c r="AD88" s="201"/>
      <c r="AE88" s="198" t="str">
        <f t="shared" si="31"/>
        <v/>
      </c>
      <c r="AF88" s="201"/>
      <c r="AG88" s="198" t="str">
        <f t="shared" si="32"/>
        <v/>
      </c>
      <c r="AH88" s="201"/>
      <c r="AI88" s="198" t="str">
        <f t="shared" si="33"/>
        <v/>
      </c>
      <c r="AJ88" s="201"/>
      <c r="AK88" s="198" t="str">
        <f t="shared" si="34"/>
        <v/>
      </c>
      <c r="AL88" s="201"/>
      <c r="AM88" s="198" t="str">
        <f t="shared" si="35"/>
        <v/>
      </c>
      <c r="AN88" s="201"/>
      <c r="AO88" s="198" t="str">
        <f t="shared" si="36"/>
        <v/>
      </c>
      <c r="AP88" s="201"/>
      <c r="AQ88" s="198" t="str">
        <f t="shared" si="37"/>
        <v/>
      </c>
    </row>
    <row r="89" spans="1:43">
      <c r="A89" s="190" t="s">
        <v>255</v>
      </c>
      <c r="B89" s="196">
        <v>1.9</v>
      </c>
      <c r="D89" s="197"/>
      <c r="E89" s="198" t="str">
        <f t="shared" si="19"/>
        <v/>
      </c>
      <c r="F89" s="197"/>
      <c r="G89" s="198" t="str">
        <f t="shared" si="19"/>
        <v/>
      </c>
      <c r="H89" s="197"/>
      <c r="I89" s="198" t="str">
        <f t="shared" si="20"/>
        <v/>
      </c>
      <c r="J89" s="197"/>
      <c r="K89" s="198" t="str">
        <f t="shared" si="21"/>
        <v/>
      </c>
      <c r="L89" s="197"/>
      <c r="M89" s="198" t="str">
        <f t="shared" si="22"/>
        <v/>
      </c>
      <c r="N89" s="197">
        <v>44</v>
      </c>
      <c r="O89" s="198">
        <f t="shared" si="23"/>
        <v>23.157894736842106</v>
      </c>
      <c r="P89" s="197">
        <v>156</v>
      </c>
      <c r="Q89" s="198">
        <f t="shared" si="24"/>
        <v>82.10526315789474</v>
      </c>
      <c r="R89" s="197"/>
      <c r="S89" s="198" t="str">
        <f t="shared" si="25"/>
        <v/>
      </c>
      <c r="T89" s="197"/>
      <c r="U89" s="198" t="str">
        <f t="shared" si="26"/>
        <v/>
      </c>
      <c r="V89" s="197"/>
      <c r="W89" s="198" t="str">
        <f t="shared" si="27"/>
        <v/>
      </c>
      <c r="X89" s="197"/>
      <c r="Y89" s="198" t="str">
        <f t="shared" si="28"/>
        <v/>
      </c>
      <c r="Z89" s="197"/>
      <c r="AA89" s="198" t="str">
        <f t="shared" si="29"/>
        <v/>
      </c>
      <c r="AB89" s="197"/>
      <c r="AC89" s="198" t="str">
        <f t="shared" si="30"/>
        <v/>
      </c>
      <c r="AD89" s="197"/>
      <c r="AE89" s="198" t="str">
        <f t="shared" si="31"/>
        <v/>
      </c>
      <c r="AF89" s="197"/>
      <c r="AG89" s="198" t="str">
        <f t="shared" si="32"/>
        <v/>
      </c>
      <c r="AH89" s="197"/>
      <c r="AI89" s="198" t="str">
        <f t="shared" si="33"/>
        <v/>
      </c>
      <c r="AJ89" s="197">
        <v>106</v>
      </c>
      <c r="AK89" s="198">
        <f t="shared" si="34"/>
        <v>55.789473684210527</v>
      </c>
      <c r="AL89" s="197"/>
      <c r="AM89" s="198" t="str">
        <f t="shared" si="35"/>
        <v/>
      </c>
      <c r="AN89" s="197"/>
      <c r="AO89" s="198" t="str">
        <f t="shared" si="36"/>
        <v/>
      </c>
      <c r="AP89" s="197">
        <v>306</v>
      </c>
      <c r="AQ89" s="198">
        <f t="shared" si="37"/>
        <v>161.05263157894737</v>
      </c>
    </row>
    <row r="90" spans="1:43">
      <c r="A90" s="190" t="s">
        <v>256</v>
      </c>
      <c r="B90" s="196">
        <v>1.44</v>
      </c>
      <c r="D90" s="197">
        <v>28</v>
      </c>
      <c r="E90" s="198">
        <f t="shared" si="19"/>
        <v>19.444444444444446</v>
      </c>
      <c r="F90" s="197"/>
      <c r="G90" s="198" t="str">
        <f t="shared" si="19"/>
        <v/>
      </c>
      <c r="H90" s="197"/>
      <c r="I90" s="198" t="str">
        <f t="shared" si="20"/>
        <v/>
      </c>
      <c r="J90" s="197"/>
      <c r="K90" s="198" t="str">
        <f t="shared" si="21"/>
        <v/>
      </c>
      <c r="L90" s="197"/>
      <c r="M90" s="198" t="str">
        <f t="shared" si="22"/>
        <v/>
      </c>
      <c r="N90" s="197"/>
      <c r="O90" s="198" t="str">
        <f t="shared" si="23"/>
        <v/>
      </c>
      <c r="P90" s="197">
        <v>9069</v>
      </c>
      <c r="Q90" s="198">
        <f t="shared" si="24"/>
        <v>6297.916666666667</v>
      </c>
      <c r="R90" s="197">
        <v>152</v>
      </c>
      <c r="S90" s="198">
        <f t="shared" si="25"/>
        <v>105.55555555555556</v>
      </c>
      <c r="T90" s="197"/>
      <c r="U90" s="198" t="str">
        <f t="shared" si="26"/>
        <v/>
      </c>
      <c r="V90" s="197"/>
      <c r="W90" s="198" t="str">
        <f t="shared" si="27"/>
        <v/>
      </c>
      <c r="X90" s="197"/>
      <c r="Y90" s="198" t="str">
        <f t="shared" si="28"/>
        <v/>
      </c>
      <c r="Z90" s="197"/>
      <c r="AA90" s="198" t="str">
        <f t="shared" si="29"/>
        <v/>
      </c>
      <c r="AB90" s="197"/>
      <c r="AC90" s="198" t="str">
        <f t="shared" si="30"/>
        <v/>
      </c>
      <c r="AD90" s="197"/>
      <c r="AE90" s="198" t="str">
        <f t="shared" si="31"/>
        <v/>
      </c>
      <c r="AF90" s="197"/>
      <c r="AG90" s="198" t="str">
        <f t="shared" si="32"/>
        <v/>
      </c>
      <c r="AH90" s="197"/>
      <c r="AI90" s="198" t="str">
        <f t="shared" si="33"/>
        <v/>
      </c>
      <c r="AJ90" s="197"/>
      <c r="AK90" s="198" t="str">
        <f t="shared" si="34"/>
        <v/>
      </c>
      <c r="AL90" s="197"/>
      <c r="AM90" s="198" t="str">
        <f t="shared" si="35"/>
        <v/>
      </c>
      <c r="AN90" s="197"/>
      <c r="AO90" s="198" t="str">
        <f t="shared" si="36"/>
        <v/>
      </c>
      <c r="AP90" s="197">
        <v>9221</v>
      </c>
      <c r="AQ90" s="198">
        <f t="shared" si="37"/>
        <v>6403.4722222222226</v>
      </c>
    </row>
    <row r="91" spans="1:43">
      <c r="A91" s="190" t="s">
        <v>257</v>
      </c>
      <c r="B91" s="196">
        <v>6.7543269230769196</v>
      </c>
      <c r="D91" s="197"/>
      <c r="E91" s="198" t="str">
        <f t="shared" si="19"/>
        <v/>
      </c>
      <c r="F91" s="197"/>
      <c r="G91" s="198" t="str">
        <f t="shared" si="19"/>
        <v/>
      </c>
      <c r="H91" s="197"/>
      <c r="I91" s="198" t="str">
        <f t="shared" si="20"/>
        <v/>
      </c>
      <c r="J91" s="197"/>
      <c r="K91" s="198" t="str">
        <f t="shared" si="21"/>
        <v/>
      </c>
      <c r="L91" s="197"/>
      <c r="M91" s="198" t="str">
        <f t="shared" si="22"/>
        <v/>
      </c>
      <c r="N91" s="197"/>
      <c r="O91" s="198" t="str">
        <f t="shared" si="23"/>
        <v/>
      </c>
      <c r="P91" s="197">
        <v>1704</v>
      </c>
      <c r="Q91" s="198">
        <f t="shared" si="24"/>
        <v>252.28272474909258</v>
      </c>
      <c r="R91" s="197"/>
      <c r="S91" s="198" t="str">
        <f t="shared" si="25"/>
        <v/>
      </c>
      <c r="T91" s="197"/>
      <c r="U91" s="198" t="str">
        <f t="shared" si="26"/>
        <v/>
      </c>
      <c r="V91" s="197">
        <v>9060</v>
      </c>
      <c r="W91" s="198">
        <f t="shared" si="27"/>
        <v>1341.3623745462316</v>
      </c>
      <c r="X91" s="197"/>
      <c r="Y91" s="198" t="str">
        <f t="shared" si="28"/>
        <v/>
      </c>
      <c r="Z91" s="197"/>
      <c r="AA91" s="198" t="str">
        <f t="shared" si="29"/>
        <v/>
      </c>
      <c r="AB91" s="197"/>
      <c r="AC91" s="198" t="str">
        <f t="shared" si="30"/>
        <v/>
      </c>
      <c r="AD91" s="197"/>
      <c r="AE91" s="198" t="str">
        <f t="shared" si="31"/>
        <v/>
      </c>
      <c r="AF91" s="197"/>
      <c r="AG91" s="198" t="str">
        <f t="shared" si="32"/>
        <v/>
      </c>
      <c r="AH91" s="197"/>
      <c r="AI91" s="198" t="str">
        <f t="shared" si="33"/>
        <v/>
      </c>
      <c r="AJ91" s="197">
        <v>14867</v>
      </c>
      <c r="AK91" s="198">
        <f t="shared" si="34"/>
        <v>2201.1075521389434</v>
      </c>
      <c r="AL91" s="197"/>
      <c r="AM91" s="198" t="str">
        <f t="shared" si="35"/>
        <v/>
      </c>
      <c r="AN91" s="197"/>
      <c r="AO91" s="198" t="str">
        <f t="shared" si="36"/>
        <v/>
      </c>
      <c r="AP91" s="197">
        <v>25631</v>
      </c>
      <c r="AQ91" s="198">
        <f t="shared" si="37"/>
        <v>3794.7526514342676</v>
      </c>
    </row>
    <row r="92" spans="1:43">
      <c r="A92" s="200"/>
      <c r="B92">
        <v>9.9519230769230804E-3</v>
      </c>
      <c r="D92" s="201"/>
      <c r="E92" s="198" t="str">
        <f t="shared" si="19"/>
        <v/>
      </c>
      <c r="F92" s="201"/>
      <c r="G92" s="198" t="str">
        <f t="shared" si="19"/>
        <v/>
      </c>
      <c r="H92" s="201"/>
      <c r="I92" s="198" t="str">
        <f t="shared" si="20"/>
        <v/>
      </c>
      <c r="J92" s="201"/>
      <c r="K92" s="198" t="str">
        <f t="shared" si="21"/>
        <v/>
      </c>
      <c r="L92" s="201"/>
      <c r="M92" s="198" t="str">
        <f t="shared" si="22"/>
        <v/>
      </c>
      <c r="N92" s="201"/>
      <c r="O92" s="198" t="str">
        <f t="shared" si="23"/>
        <v/>
      </c>
      <c r="P92" s="201"/>
      <c r="Q92" s="198" t="str">
        <f t="shared" si="24"/>
        <v/>
      </c>
      <c r="R92" s="201"/>
      <c r="S92" s="198" t="str">
        <f t="shared" si="25"/>
        <v/>
      </c>
      <c r="T92" s="201"/>
      <c r="U92" s="198" t="str">
        <f t="shared" si="26"/>
        <v/>
      </c>
      <c r="V92" s="201"/>
      <c r="W92" s="198" t="str">
        <f t="shared" si="27"/>
        <v/>
      </c>
      <c r="X92" s="201"/>
      <c r="Y92" s="198" t="str">
        <f t="shared" si="28"/>
        <v/>
      </c>
      <c r="Z92" s="201"/>
      <c r="AA92" s="198" t="str">
        <f t="shared" si="29"/>
        <v/>
      </c>
      <c r="AB92" s="201"/>
      <c r="AC92" s="198" t="str">
        <f t="shared" si="30"/>
        <v/>
      </c>
      <c r="AD92" s="201"/>
      <c r="AE92" s="198" t="str">
        <f t="shared" si="31"/>
        <v/>
      </c>
      <c r="AF92" s="201"/>
      <c r="AG92" s="198" t="str">
        <f t="shared" si="32"/>
        <v/>
      </c>
      <c r="AH92" s="201"/>
      <c r="AI92" s="198" t="str">
        <f t="shared" si="33"/>
        <v/>
      </c>
      <c r="AJ92" s="201"/>
      <c r="AK92" s="198" t="str">
        <f t="shared" si="34"/>
        <v/>
      </c>
      <c r="AL92" s="201"/>
      <c r="AM92" s="198" t="str">
        <f t="shared" si="35"/>
        <v/>
      </c>
      <c r="AN92" s="201"/>
      <c r="AO92" s="198" t="str">
        <f t="shared" si="36"/>
        <v/>
      </c>
      <c r="AP92" s="201"/>
      <c r="AQ92" s="198" t="str">
        <f t="shared" si="37"/>
        <v/>
      </c>
    </row>
    <row r="93" spans="1:43">
      <c r="A93" s="200"/>
      <c r="D93" s="201"/>
      <c r="E93" s="198" t="str">
        <f t="shared" si="19"/>
        <v/>
      </c>
      <c r="F93" s="201"/>
      <c r="G93" s="198" t="str">
        <f t="shared" si="19"/>
        <v/>
      </c>
      <c r="H93" s="201"/>
      <c r="I93" s="198" t="str">
        <f t="shared" si="20"/>
        <v/>
      </c>
      <c r="J93" s="201"/>
      <c r="K93" s="198" t="str">
        <f t="shared" si="21"/>
        <v/>
      </c>
      <c r="L93" s="201"/>
      <c r="M93" s="198" t="str">
        <f t="shared" si="22"/>
        <v/>
      </c>
      <c r="N93" s="201"/>
      <c r="O93" s="198" t="str">
        <f t="shared" si="23"/>
        <v/>
      </c>
      <c r="P93" s="201"/>
      <c r="Q93" s="198" t="str">
        <f t="shared" si="24"/>
        <v/>
      </c>
      <c r="R93" s="201"/>
      <c r="S93" s="198" t="str">
        <f t="shared" si="25"/>
        <v/>
      </c>
      <c r="T93" s="201"/>
      <c r="U93" s="198" t="str">
        <f t="shared" si="26"/>
        <v/>
      </c>
      <c r="V93" s="201"/>
      <c r="W93" s="198" t="str">
        <f t="shared" si="27"/>
        <v/>
      </c>
      <c r="X93" s="201"/>
      <c r="Y93" s="198" t="str">
        <f t="shared" si="28"/>
        <v/>
      </c>
      <c r="Z93" s="201"/>
      <c r="AA93" s="198" t="str">
        <f t="shared" si="29"/>
        <v/>
      </c>
      <c r="AB93" s="201"/>
      <c r="AC93" s="198" t="str">
        <f t="shared" si="30"/>
        <v/>
      </c>
      <c r="AD93" s="201"/>
      <c r="AE93" s="198" t="str">
        <f t="shared" si="31"/>
        <v/>
      </c>
      <c r="AF93" s="201"/>
      <c r="AG93" s="198" t="str">
        <f t="shared" si="32"/>
        <v/>
      </c>
      <c r="AH93" s="201"/>
      <c r="AI93" s="198" t="str">
        <f t="shared" si="33"/>
        <v/>
      </c>
      <c r="AJ93" s="201"/>
      <c r="AK93" s="198" t="str">
        <f t="shared" si="34"/>
        <v/>
      </c>
      <c r="AL93" s="201"/>
      <c r="AM93" s="198" t="str">
        <f t="shared" si="35"/>
        <v/>
      </c>
      <c r="AN93" s="201"/>
      <c r="AO93" s="198" t="str">
        <f t="shared" si="36"/>
        <v/>
      </c>
      <c r="AP93" s="201"/>
      <c r="AQ93" s="198" t="str">
        <f t="shared" si="37"/>
        <v/>
      </c>
    </row>
    <row r="94" spans="1:43">
      <c r="A94" s="200"/>
      <c r="B94">
        <v>0.19423076923076901</v>
      </c>
      <c r="D94" s="201"/>
      <c r="E94" s="198" t="str">
        <f t="shared" si="19"/>
        <v/>
      </c>
      <c r="F94" s="201"/>
      <c r="G94" s="198" t="str">
        <f t="shared" si="19"/>
        <v/>
      </c>
      <c r="H94" s="201"/>
      <c r="I94" s="198" t="str">
        <f t="shared" si="20"/>
        <v/>
      </c>
      <c r="J94" s="201"/>
      <c r="K94" s="198" t="str">
        <f t="shared" si="21"/>
        <v/>
      </c>
      <c r="L94" s="201"/>
      <c r="M94" s="198" t="str">
        <f t="shared" si="22"/>
        <v/>
      </c>
      <c r="N94" s="201"/>
      <c r="O94" s="198" t="str">
        <f t="shared" si="23"/>
        <v/>
      </c>
      <c r="P94" s="201">
        <v>158</v>
      </c>
      <c r="Q94" s="198">
        <f t="shared" si="24"/>
        <v>813.46534653465437</v>
      </c>
      <c r="R94" s="201"/>
      <c r="S94" s="198" t="str">
        <f t="shared" si="25"/>
        <v/>
      </c>
      <c r="T94" s="201"/>
      <c r="U94" s="198" t="str">
        <f t="shared" si="26"/>
        <v/>
      </c>
      <c r="V94" s="201"/>
      <c r="W94" s="198" t="str">
        <f t="shared" si="27"/>
        <v/>
      </c>
      <c r="X94" s="201"/>
      <c r="Y94" s="198" t="str">
        <f t="shared" si="28"/>
        <v/>
      </c>
      <c r="Z94" s="201"/>
      <c r="AA94" s="198" t="str">
        <f t="shared" si="29"/>
        <v/>
      </c>
      <c r="AB94" s="201"/>
      <c r="AC94" s="198" t="str">
        <f t="shared" si="30"/>
        <v/>
      </c>
      <c r="AD94" s="201"/>
      <c r="AE94" s="198" t="str">
        <f t="shared" si="31"/>
        <v/>
      </c>
      <c r="AF94" s="201"/>
      <c r="AG94" s="198" t="str">
        <f t="shared" si="32"/>
        <v/>
      </c>
      <c r="AH94" s="201"/>
      <c r="AI94" s="198" t="str">
        <f t="shared" si="33"/>
        <v/>
      </c>
      <c r="AJ94" s="201"/>
      <c r="AK94" s="198" t="str">
        <f t="shared" si="34"/>
        <v/>
      </c>
      <c r="AL94" s="201"/>
      <c r="AM94" s="198" t="str">
        <f t="shared" si="35"/>
        <v/>
      </c>
      <c r="AN94" s="201"/>
      <c r="AO94" s="198" t="str">
        <f t="shared" si="36"/>
        <v/>
      </c>
      <c r="AP94" s="201">
        <v>158</v>
      </c>
      <c r="AQ94" s="198">
        <f t="shared" si="37"/>
        <v>813.46534653465437</v>
      </c>
    </row>
    <row r="95" spans="1:43">
      <c r="A95" s="200"/>
      <c r="D95" s="201"/>
      <c r="E95" s="198" t="str">
        <f t="shared" si="19"/>
        <v/>
      </c>
      <c r="F95" s="201"/>
      <c r="G95" s="198" t="str">
        <f t="shared" si="19"/>
        <v/>
      </c>
      <c r="H95" s="201"/>
      <c r="I95" s="198" t="str">
        <f t="shared" si="20"/>
        <v/>
      </c>
      <c r="J95" s="201"/>
      <c r="K95" s="198" t="str">
        <f t="shared" si="21"/>
        <v/>
      </c>
      <c r="L95" s="201"/>
      <c r="M95" s="198" t="str">
        <f t="shared" si="22"/>
        <v/>
      </c>
      <c r="N95" s="201"/>
      <c r="O95" s="198" t="str">
        <f t="shared" si="23"/>
        <v/>
      </c>
      <c r="P95" s="201"/>
      <c r="Q95" s="198" t="str">
        <f t="shared" si="24"/>
        <v/>
      </c>
      <c r="R95" s="201"/>
      <c r="S95" s="198" t="str">
        <f t="shared" si="25"/>
        <v/>
      </c>
      <c r="T95" s="201"/>
      <c r="U95" s="198" t="str">
        <f t="shared" si="26"/>
        <v/>
      </c>
      <c r="V95" s="201"/>
      <c r="W95" s="198" t="str">
        <f t="shared" si="27"/>
        <v/>
      </c>
      <c r="X95" s="201"/>
      <c r="Y95" s="198" t="str">
        <f t="shared" si="28"/>
        <v/>
      </c>
      <c r="Z95" s="201"/>
      <c r="AA95" s="198" t="str">
        <f t="shared" si="29"/>
        <v/>
      </c>
      <c r="AB95" s="201"/>
      <c r="AC95" s="198" t="str">
        <f t="shared" si="30"/>
        <v/>
      </c>
      <c r="AD95" s="201">
        <v>20626</v>
      </c>
      <c r="AE95" s="198" t="str">
        <f t="shared" si="31"/>
        <v/>
      </c>
      <c r="AF95" s="201"/>
      <c r="AG95" s="198" t="str">
        <f t="shared" si="32"/>
        <v/>
      </c>
      <c r="AH95" s="201"/>
      <c r="AI95" s="198" t="str">
        <f t="shared" si="33"/>
        <v/>
      </c>
      <c r="AJ95" s="201"/>
      <c r="AK95" s="198" t="str">
        <f t="shared" si="34"/>
        <v/>
      </c>
      <c r="AL95" s="201"/>
      <c r="AM95" s="198" t="str">
        <f t="shared" si="35"/>
        <v/>
      </c>
      <c r="AN95" s="201"/>
      <c r="AO95" s="198" t="str">
        <f t="shared" si="36"/>
        <v/>
      </c>
      <c r="AP95" s="201">
        <v>20626</v>
      </c>
      <c r="AQ95" s="198" t="str">
        <f t="shared" si="37"/>
        <v/>
      </c>
    </row>
    <row r="96" spans="1:43">
      <c r="A96" s="200"/>
      <c r="B96">
        <v>7.1062500000000002</v>
      </c>
      <c r="D96" s="201"/>
      <c r="E96" s="198" t="str">
        <f t="shared" si="19"/>
        <v/>
      </c>
      <c r="F96" s="201">
        <v>7288</v>
      </c>
      <c r="G96" s="198">
        <f t="shared" si="19"/>
        <v>1025.5760773966579</v>
      </c>
      <c r="H96" s="201"/>
      <c r="I96" s="198" t="str">
        <f t="shared" si="20"/>
        <v/>
      </c>
      <c r="J96" s="201"/>
      <c r="K96" s="198" t="str">
        <f t="shared" si="21"/>
        <v/>
      </c>
      <c r="L96" s="201"/>
      <c r="M96" s="198" t="str">
        <f t="shared" si="22"/>
        <v/>
      </c>
      <c r="N96" s="201">
        <v>21</v>
      </c>
      <c r="O96" s="198">
        <f t="shared" si="23"/>
        <v>2.9551451187335092</v>
      </c>
      <c r="P96" s="201">
        <v>14845</v>
      </c>
      <c r="Q96" s="198">
        <f t="shared" si="24"/>
        <v>2089.0061565523306</v>
      </c>
      <c r="R96" s="201"/>
      <c r="S96" s="198" t="str">
        <f t="shared" si="25"/>
        <v/>
      </c>
      <c r="T96" s="201"/>
      <c r="U96" s="198" t="str">
        <f t="shared" si="26"/>
        <v/>
      </c>
      <c r="V96" s="201">
        <v>2</v>
      </c>
      <c r="W96" s="198">
        <f t="shared" si="27"/>
        <v>0.28144239226033418</v>
      </c>
      <c r="X96" s="201"/>
      <c r="Y96" s="198" t="str">
        <f t="shared" si="28"/>
        <v/>
      </c>
      <c r="Z96" s="201"/>
      <c r="AA96" s="198" t="str">
        <f t="shared" si="29"/>
        <v/>
      </c>
      <c r="AB96" s="201"/>
      <c r="AC96" s="198" t="str">
        <f t="shared" si="30"/>
        <v/>
      </c>
      <c r="AD96" s="201"/>
      <c r="AE96" s="198" t="str">
        <f t="shared" si="31"/>
        <v/>
      </c>
      <c r="AF96" s="201"/>
      <c r="AG96" s="198" t="str">
        <f t="shared" si="32"/>
        <v/>
      </c>
      <c r="AH96" s="201"/>
      <c r="AI96" s="198" t="str">
        <f t="shared" si="33"/>
        <v/>
      </c>
      <c r="AJ96" s="201">
        <v>1459</v>
      </c>
      <c r="AK96" s="198">
        <f t="shared" si="34"/>
        <v>205.3122251539138</v>
      </c>
      <c r="AL96" s="201"/>
      <c r="AM96" s="198" t="str">
        <f t="shared" si="35"/>
        <v/>
      </c>
      <c r="AN96" s="201"/>
      <c r="AO96" s="198" t="str">
        <f t="shared" si="36"/>
        <v/>
      </c>
      <c r="AP96" s="201">
        <v>23615</v>
      </c>
      <c r="AQ96" s="198">
        <f t="shared" si="37"/>
        <v>3323.1310466138962</v>
      </c>
    </row>
    <row r="97" spans="1:43">
      <c r="A97" s="200"/>
      <c r="B97">
        <v>1.60716346153846</v>
      </c>
      <c r="D97" s="201"/>
      <c r="E97" s="198" t="str">
        <f t="shared" si="19"/>
        <v/>
      </c>
      <c r="F97" s="201"/>
      <c r="G97" s="198" t="str">
        <f t="shared" si="19"/>
        <v/>
      </c>
      <c r="H97" s="201"/>
      <c r="I97" s="198" t="str">
        <f t="shared" si="20"/>
        <v/>
      </c>
      <c r="J97" s="201"/>
      <c r="K97" s="198" t="str">
        <f t="shared" si="21"/>
        <v/>
      </c>
      <c r="L97" s="201"/>
      <c r="M97" s="198" t="str">
        <f t="shared" si="22"/>
        <v/>
      </c>
      <c r="N97" s="201"/>
      <c r="O97" s="198" t="str">
        <f t="shared" si="23"/>
        <v/>
      </c>
      <c r="P97" s="201">
        <v>1155</v>
      </c>
      <c r="Q97" s="198">
        <f t="shared" si="24"/>
        <v>718.65745310957618</v>
      </c>
      <c r="R97" s="201"/>
      <c r="S97" s="198" t="str">
        <f t="shared" si="25"/>
        <v/>
      </c>
      <c r="T97" s="201"/>
      <c r="U97" s="198" t="str">
        <f t="shared" si="26"/>
        <v/>
      </c>
      <c r="V97" s="201"/>
      <c r="W97" s="198" t="str">
        <f t="shared" si="27"/>
        <v/>
      </c>
      <c r="X97" s="201"/>
      <c r="Y97" s="198" t="str">
        <f t="shared" si="28"/>
        <v/>
      </c>
      <c r="Z97" s="201"/>
      <c r="AA97" s="198" t="str">
        <f t="shared" si="29"/>
        <v/>
      </c>
      <c r="AB97" s="201"/>
      <c r="AC97" s="198" t="str">
        <f t="shared" si="30"/>
        <v/>
      </c>
      <c r="AD97" s="201"/>
      <c r="AE97" s="198" t="str">
        <f t="shared" si="31"/>
        <v/>
      </c>
      <c r="AF97" s="201"/>
      <c r="AG97" s="198" t="str">
        <f t="shared" si="32"/>
        <v/>
      </c>
      <c r="AH97" s="201"/>
      <c r="AI97" s="198" t="str">
        <f t="shared" si="33"/>
        <v/>
      </c>
      <c r="AJ97" s="201"/>
      <c r="AK97" s="198" t="str">
        <f t="shared" si="34"/>
        <v/>
      </c>
      <c r="AL97" s="201"/>
      <c r="AM97" s="198" t="str">
        <f t="shared" si="35"/>
        <v/>
      </c>
      <c r="AN97" s="201"/>
      <c r="AO97" s="198" t="str">
        <f t="shared" si="36"/>
        <v/>
      </c>
      <c r="AP97" s="201">
        <v>1155</v>
      </c>
      <c r="AQ97" s="198">
        <f t="shared" si="37"/>
        <v>718.65745310957618</v>
      </c>
    </row>
    <row r="98" spans="1:43">
      <c r="A98" s="190" t="s">
        <v>258</v>
      </c>
      <c r="B98" s="196">
        <v>0.09</v>
      </c>
      <c r="D98" s="197">
        <v>76</v>
      </c>
      <c r="E98" s="198">
        <f t="shared" si="19"/>
        <v>844.44444444444446</v>
      </c>
      <c r="F98" s="197"/>
      <c r="G98" s="198" t="str">
        <f t="shared" si="19"/>
        <v/>
      </c>
      <c r="H98" s="197"/>
      <c r="I98" s="198" t="str">
        <f t="shared" si="20"/>
        <v/>
      </c>
      <c r="J98" s="197"/>
      <c r="K98" s="198" t="str">
        <f t="shared" si="21"/>
        <v/>
      </c>
      <c r="L98" s="197"/>
      <c r="M98" s="198" t="str">
        <f t="shared" si="22"/>
        <v/>
      </c>
      <c r="N98" s="197"/>
      <c r="O98" s="198" t="str">
        <f t="shared" si="23"/>
        <v/>
      </c>
      <c r="P98" s="197">
        <v>189</v>
      </c>
      <c r="Q98" s="198">
        <f t="shared" si="24"/>
        <v>2100</v>
      </c>
      <c r="R98" s="197"/>
      <c r="S98" s="198" t="str">
        <f t="shared" si="25"/>
        <v/>
      </c>
      <c r="T98" s="197"/>
      <c r="U98" s="198" t="str">
        <f t="shared" si="26"/>
        <v/>
      </c>
      <c r="V98" s="197"/>
      <c r="W98" s="198" t="str">
        <f t="shared" si="27"/>
        <v/>
      </c>
      <c r="X98" s="197"/>
      <c r="Y98" s="198" t="str">
        <f t="shared" si="28"/>
        <v/>
      </c>
      <c r="Z98" s="197"/>
      <c r="AA98" s="198" t="str">
        <f t="shared" si="29"/>
        <v/>
      </c>
      <c r="AB98" s="197"/>
      <c r="AC98" s="198" t="str">
        <f t="shared" si="30"/>
        <v/>
      </c>
      <c r="AD98" s="197"/>
      <c r="AE98" s="198" t="str">
        <f t="shared" si="31"/>
        <v/>
      </c>
      <c r="AF98" s="197"/>
      <c r="AG98" s="198" t="str">
        <f t="shared" si="32"/>
        <v/>
      </c>
      <c r="AH98" s="197"/>
      <c r="AI98" s="198" t="str">
        <f t="shared" si="33"/>
        <v/>
      </c>
      <c r="AJ98" s="197">
        <v>56</v>
      </c>
      <c r="AK98" s="198">
        <f t="shared" si="34"/>
        <v>622.22222222222229</v>
      </c>
      <c r="AL98" s="197"/>
      <c r="AM98" s="198" t="str">
        <f t="shared" si="35"/>
        <v/>
      </c>
      <c r="AN98" s="197"/>
      <c r="AO98" s="198" t="str">
        <f t="shared" si="36"/>
        <v/>
      </c>
      <c r="AP98" s="197">
        <v>245</v>
      </c>
      <c r="AQ98" s="198">
        <f t="shared" si="37"/>
        <v>2722.2222222222222</v>
      </c>
    </row>
    <row r="99" spans="1:43">
      <c r="A99" s="200"/>
      <c r="D99" s="201"/>
      <c r="E99" s="198" t="str">
        <f t="shared" si="19"/>
        <v/>
      </c>
      <c r="F99" s="201"/>
      <c r="G99" s="198" t="str">
        <f t="shared" si="19"/>
        <v/>
      </c>
      <c r="H99" s="201"/>
      <c r="I99" s="198" t="str">
        <f t="shared" si="20"/>
        <v/>
      </c>
      <c r="J99" s="201">
        <v>22129</v>
      </c>
      <c r="K99" s="198" t="str">
        <f t="shared" si="21"/>
        <v/>
      </c>
      <c r="L99" s="201"/>
      <c r="M99" s="198" t="str">
        <f t="shared" si="22"/>
        <v/>
      </c>
      <c r="N99" s="201"/>
      <c r="O99" s="198" t="str">
        <f t="shared" si="23"/>
        <v/>
      </c>
      <c r="P99" s="201"/>
      <c r="Q99" s="198" t="str">
        <f t="shared" si="24"/>
        <v/>
      </c>
      <c r="R99" s="201"/>
      <c r="S99" s="198" t="str">
        <f t="shared" si="25"/>
        <v/>
      </c>
      <c r="T99" s="201"/>
      <c r="U99" s="198" t="str">
        <f t="shared" si="26"/>
        <v/>
      </c>
      <c r="V99" s="201"/>
      <c r="W99" s="198" t="str">
        <f t="shared" si="27"/>
        <v/>
      </c>
      <c r="X99" s="201"/>
      <c r="Y99" s="198" t="str">
        <f t="shared" si="28"/>
        <v/>
      </c>
      <c r="Z99" s="201"/>
      <c r="AA99" s="198" t="str">
        <f t="shared" si="29"/>
        <v/>
      </c>
      <c r="AB99" s="201"/>
      <c r="AC99" s="198" t="str">
        <f t="shared" si="30"/>
        <v/>
      </c>
      <c r="AD99" s="201"/>
      <c r="AE99" s="198" t="str">
        <f t="shared" si="31"/>
        <v/>
      </c>
      <c r="AF99" s="201"/>
      <c r="AG99" s="198" t="str">
        <f t="shared" si="32"/>
        <v/>
      </c>
      <c r="AH99" s="201"/>
      <c r="AI99" s="198" t="str">
        <f t="shared" si="33"/>
        <v/>
      </c>
      <c r="AJ99" s="201"/>
      <c r="AK99" s="198" t="str">
        <f t="shared" si="34"/>
        <v/>
      </c>
      <c r="AL99" s="201"/>
      <c r="AM99" s="198" t="str">
        <f t="shared" si="35"/>
        <v/>
      </c>
      <c r="AN99" s="201"/>
      <c r="AO99" s="198" t="str">
        <f t="shared" si="36"/>
        <v/>
      </c>
      <c r="AP99" s="201">
        <v>22129</v>
      </c>
      <c r="AQ99" s="198" t="str">
        <f t="shared" si="37"/>
        <v/>
      </c>
    </row>
    <row r="100" spans="1:43">
      <c r="A100" s="200"/>
      <c r="B100">
        <v>4.66</v>
      </c>
      <c r="D100" s="201">
        <v>39214</v>
      </c>
      <c r="E100" s="198">
        <f t="shared" si="19"/>
        <v>8415.0214592274679</v>
      </c>
      <c r="F100" s="201"/>
      <c r="G100" s="198" t="str">
        <f t="shared" si="19"/>
        <v/>
      </c>
      <c r="H100" s="201"/>
      <c r="I100" s="198" t="str">
        <f t="shared" si="20"/>
        <v/>
      </c>
      <c r="J100" s="201"/>
      <c r="K100" s="198" t="str">
        <f t="shared" si="21"/>
        <v/>
      </c>
      <c r="L100" s="201"/>
      <c r="M100" s="198" t="str">
        <f t="shared" si="22"/>
        <v/>
      </c>
      <c r="N100" s="201">
        <v>406</v>
      </c>
      <c r="O100" s="198">
        <f t="shared" si="23"/>
        <v>87.124463519313295</v>
      </c>
      <c r="P100" s="201">
        <v>634</v>
      </c>
      <c r="Q100" s="198">
        <f t="shared" si="24"/>
        <v>136.05150214592274</v>
      </c>
      <c r="R100" s="201"/>
      <c r="S100" s="198" t="str">
        <f t="shared" si="25"/>
        <v/>
      </c>
      <c r="T100" s="201"/>
      <c r="U100" s="198" t="str">
        <f t="shared" si="26"/>
        <v/>
      </c>
      <c r="V100" s="201">
        <v>3097</v>
      </c>
      <c r="W100" s="198">
        <f t="shared" si="27"/>
        <v>664.59227467811161</v>
      </c>
      <c r="X100" s="201">
        <v>479</v>
      </c>
      <c r="Y100" s="198">
        <f t="shared" si="28"/>
        <v>102.78969957081544</v>
      </c>
      <c r="Z100" s="201"/>
      <c r="AA100" s="198" t="str">
        <f t="shared" si="29"/>
        <v/>
      </c>
      <c r="AB100" s="201"/>
      <c r="AC100" s="198" t="str">
        <f t="shared" si="30"/>
        <v/>
      </c>
      <c r="AD100" s="201"/>
      <c r="AE100" s="198" t="str">
        <f t="shared" si="31"/>
        <v/>
      </c>
      <c r="AF100" s="201"/>
      <c r="AG100" s="198" t="str">
        <f t="shared" si="32"/>
        <v/>
      </c>
      <c r="AH100" s="201"/>
      <c r="AI100" s="198" t="str">
        <f t="shared" si="33"/>
        <v/>
      </c>
      <c r="AJ100" s="201">
        <v>18002</v>
      </c>
      <c r="AK100" s="198">
        <f t="shared" si="34"/>
        <v>3863.0901287553647</v>
      </c>
      <c r="AL100" s="201"/>
      <c r="AM100" s="198" t="str">
        <f t="shared" si="35"/>
        <v/>
      </c>
      <c r="AN100" s="201">
        <v>137</v>
      </c>
      <c r="AO100" s="198">
        <f t="shared" si="36"/>
        <v>29.399141630901287</v>
      </c>
      <c r="AP100" s="201">
        <v>22755</v>
      </c>
      <c r="AQ100" s="198">
        <f t="shared" si="37"/>
        <v>4883.0472103004295</v>
      </c>
    </row>
    <row r="101" spans="1:43">
      <c r="A101" s="190" t="s">
        <v>259</v>
      </c>
      <c r="B101" s="196">
        <v>7.5443786982248504</v>
      </c>
      <c r="D101" s="197"/>
      <c r="E101" s="198" t="str">
        <f t="shared" si="19"/>
        <v/>
      </c>
      <c r="F101" s="197"/>
      <c r="G101" s="198" t="str">
        <f t="shared" si="19"/>
        <v/>
      </c>
      <c r="H101" s="197"/>
      <c r="I101" s="198" t="str">
        <f t="shared" si="20"/>
        <v/>
      </c>
      <c r="J101" s="197"/>
      <c r="K101" s="198" t="str">
        <f t="shared" si="21"/>
        <v/>
      </c>
      <c r="L101" s="197"/>
      <c r="M101" s="198" t="str">
        <f t="shared" si="22"/>
        <v/>
      </c>
      <c r="N101" s="197"/>
      <c r="O101" s="198" t="str">
        <f t="shared" si="23"/>
        <v/>
      </c>
      <c r="P101" s="197"/>
      <c r="Q101" s="198" t="str">
        <f t="shared" si="24"/>
        <v/>
      </c>
      <c r="R101" s="197"/>
      <c r="S101" s="198" t="str">
        <f t="shared" si="25"/>
        <v/>
      </c>
      <c r="T101" s="197"/>
      <c r="U101" s="198" t="str">
        <f t="shared" si="26"/>
        <v/>
      </c>
      <c r="V101" s="197"/>
      <c r="W101" s="198" t="str">
        <f t="shared" si="27"/>
        <v/>
      </c>
      <c r="X101" s="197"/>
      <c r="Y101" s="198" t="str">
        <f t="shared" si="28"/>
        <v/>
      </c>
      <c r="Z101" s="197"/>
      <c r="AA101" s="198" t="str">
        <f t="shared" si="29"/>
        <v/>
      </c>
      <c r="AB101" s="197"/>
      <c r="AC101" s="198" t="str">
        <f t="shared" si="30"/>
        <v/>
      </c>
      <c r="AD101" s="197"/>
      <c r="AE101" s="198" t="str">
        <f t="shared" si="31"/>
        <v/>
      </c>
      <c r="AF101" s="197"/>
      <c r="AG101" s="198" t="str">
        <f t="shared" si="32"/>
        <v/>
      </c>
      <c r="AH101" s="197"/>
      <c r="AI101" s="198" t="str">
        <f t="shared" si="33"/>
        <v/>
      </c>
      <c r="AJ101" s="197"/>
      <c r="AK101" s="198" t="str">
        <f t="shared" si="34"/>
        <v/>
      </c>
      <c r="AL101" s="197"/>
      <c r="AM101" s="198" t="str">
        <f t="shared" si="35"/>
        <v/>
      </c>
      <c r="AN101" s="197"/>
      <c r="AO101" s="198" t="str">
        <f t="shared" si="36"/>
        <v/>
      </c>
      <c r="AP101" s="197"/>
      <c r="AQ101" s="198" t="str">
        <f t="shared" si="37"/>
        <v/>
      </c>
    </row>
    <row r="102" spans="1:43">
      <c r="A102" s="200"/>
      <c r="B102">
        <v>5.0666568047337304</v>
      </c>
      <c r="D102" s="201">
        <v>32616</v>
      </c>
      <c r="E102" s="198">
        <f t="shared" si="19"/>
        <v>6437.3809509906359</v>
      </c>
      <c r="F102" s="201"/>
      <c r="G102" s="198" t="str">
        <f t="shared" si="19"/>
        <v/>
      </c>
      <c r="H102" s="201"/>
      <c r="I102" s="198" t="str">
        <f t="shared" si="20"/>
        <v/>
      </c>
      <c r="J102" s="201"/>
      <c r="K102" s="198" t="str">
        <f t="shared" si="21"/>
        <v/>
      </c>
      <c r="L102" s="201"/>
      <c r="M102" s="198" t="str">
        <f t="shared" si="22"/>
        <v/>
      </c>
      <c r="N102" s="201">
        <v>251</v>
      </c>
      <c r="O102" s="198">
        <f t="shared" si="23"/>
        <v>49.539570109720678</v>
      </c>
      <c r="P102" s="201">
        <v>8201</v>
      </c>
      <c r="Q102" s="198">
        <f t="shared" si="24"/>
        <v>1618.6215715929056</v>
      </c>
      <c r="R102" s="201">
        <v>4259</v>
      </c>
      <c r="S102" s="198">
        <f t="shared" si="25"/>
        <v>840.59374142350748</v>
      </c>
      <c r="T102" s="201"/>
      <c r="U102" s="198" t="str">
        <f t="shared" si="26"/>
        <v/>
      </c>
      <c r="V102" s="201">
        <v>22707</v>
      </c>
      <c r="W102" s="198">
        <f t="shared" si="27"/>
        <v>4481.6534600853684</v>
      </c>
      <c r="X102" s="201"/>
      <c r="Y102" s="198" t="str">
        <f t="shared" si="28"/>
        <v/>
      </c>
      <c r="Z102" s="201"/>
      <c r="AA102" s="198" t="str">
        <f t="shared" si="29"/>
        <v/>
      </c>
      <c r="AB102" s="201"/>
      <c r="AC102" s="198" t="str">
        <f t="shared" si="30"/>
        <v/>
      </c>
      <c r="AD102" s="201"/>
      <c r="AE102" s="198" t="str">
        <f t="shared" si="31"/>
        <v/>
      </c>
      <c r="AF102" s="201"/>
      <c r="AG102" s="198" t="str">
        <f t="shared" si="32"/>
        <v/>
      </c>
      <c r="AH102" s="201"/>
      <c r="AI102" s="198" t="str">
        <f t="shared" si="33"/>
        <v/>
      </c>
      <c r="AJ102" s="201">
        <v>59638</v>
      </c>
      <c r="AK102" s="198">
        <f t="shared" si="34"/>
        <v>11770.680805591721</v>
      </c>
      <c r="AL102" s="201"/>
      <c r="AM102" s="198" t="str">
        <f t="shared" si="35"/>
        <v/>
      </c>
      <c r="AN102" s="201"/>
      <c r="AO102" s="198" t="str">
        <f t="shared" si="36"/>
        <v/>
      </c>
      <c r="AP102" s="201">
        <v>95056</v>
      </c>
      <c r="AQ102" s="198">
        <f t="shared" si="37"/>
        <v>18761.089148803225</v>
      </c>
    </row>
    <row r="103" spans="1:43">
      <c r="A103" s="200"/>
      <c r="B103">
        <v>3.2686522058823502</v>
      </c>
      <c r="D103" s="201">
        <v>23463</v>
      </c>
      <c r="E103" s="198">
        <f t="shared" si="19"/>
        <v>7178.1879876284738</v>
      </c>
      <c r="F103" s="201"/>
      <c r="G103" s="198" t="str">
        <f t="shared" si="19"/>
        <v/>
      </c>
      <c r="H103" s="201"/>
      <c r="I103" s="198" t="str">
        <f t="shared" si="20"/>
        <v/>
      </c>
      <c r="J103" s="201"/>
      <c r="K103" s="198" t="str">
        <f t="shared" si="21"/>
        <v/>
      </c>
      <c r="L103" s="201"/>
      <c r="M103" s="198" t="str">
        <f t="shared" si="22"/>
        <v/>
      </c>
      <c r="N103" s="201"/>
      <c r="O103" s="198" t="str">
        <f t="shared" si="23"/>
        <v/>
      </c>
      <c r="P103" s="201"/>
      <c r="Q103" s="198" t="str">
        <f t="shared" si="24"/>
        <v/>
      </c>
      <c r="R103" s="201"/>
      <c r="S103" s="198" t="str">
        <f t="shared" si="25"/>
        <v/>
      </c>
      <c r="T103" s="201"/>
      <c r="U103" s="198" t="str">
        <f t="shared" si="26"/>
        <v/>
      </c>
      <c r="V103" s="201"/>
      <c r="W103" s="198" t="str">
        <f t="shared" si="27"/>
        <v/>
      </c>
      <c r="X103" s="201"/>
      <c r="Y103" s="198" t="str">
        <f t="shared" si="28"/>
        <v/>
      </c>
      <c r="Z103" s="201"/>
      <c r="AA103" s="198" t="str">
        <f t="shared" si="29"/>
        <v/>
      </c>
      <c r="AB103" s="201"/>
      <c r="AC103" s="198" t="str">
        <f t="shared" si="30"/>
        <v/>
      </c>
      <c r="AD103" s="201"/>
      <c r="AE103" s="198" t="str">
        <f t="shared" si="31"/>
        <v/>
      </c>
      <c r="AF103" s="201"/>
      <c r="AG103" s="198" t="str">
        <f t="shared" si="32"/>
        <v/>
      </c>
      <c r="AH103" s="201"/>
      <c r="AI103" s="198" t="str">
        <f t="shared" si="33"/>
        <v/>
      </c>
      <c r="AJ103" s="201"/>
      <c r="AK103" s="198" t="str">
        <f t="shared" si="34"/>
        <v/>
      </c>
      <c r="AL103" s="201"/>
      <c r="AM103" s="198" t="str">
        <f t="shared" si="35"/>
        <v/>
      </c>
      <c r="AN103" s="201"/>
      <c r="AO103" s="198" t="str">
        <f t="shared" si="36"/>
        <v/>
      </c>
      <c r="AP103" s="201"/>
      <c r="AQ103" s="198" t="str">
        <f t="shared" si="37"/>
        <v/>
      </c>
    </row>
    <row r="104" spans="1:43">
      <c r="A104" s="200"/>
      <c r="D104" s="201"/>
      <c r="E104" s="198" t="str">
        <f t="shared" si="19"/>
        <v/>
      </c>
      <c r="F104" s="201"/>
      <c r="G104" s="198" t="str">
        <f t="shared" si="19"/>
        <v/>
      </c>
      <c r="H104" s="201"/>
      <c r="I104" s="198" t="str">
        <f t="shared" si="20"/>
        <v/>
      </c>
      <c r="J104" s="201"/>
      <c r="K104" s="198" t="str">
        <f t="shared" si="21"/>
        <v/>
      </c>
      <c r="L104" s="201"/>
      <c r="M104" s="198" t="str">
        <f t="shared" si="22"/>
        <v/>
      </c>
      <c r="N104" s="201"/>
      <c r="O104" s="198" t="str">
        <f t="shared" si="23"/>
        <v/>
      </c>
      <c r="P104" s="201"/>
      <c r="Q104" s="198" t="str">
        <f t="shared" si="24"/>
        <v/>
      </c>
      <c r="R104" s="201"/>
      <c r="S104" s="198" t="str">
        <f t="shared" si="25"/>
        <v/>
      </c>
      <c r="T104" s="201"/>
      <c r="U104" s="198" t="str">
        <f t="shared" si="26"/>
        <v/>
      </c>
      <c r="V104" s="201"/>
      <c r="W104" s="198" t="str">
        <f t="shared" si="27"/>
        <v/>
      </c>
      <c r="X104" s="201"/>
      <c r="Y104" s="198" t="str">
        <f t="shared" si="28"/>
        <v/>
      </c>
      <c r="Z104" s="201"/>
      <c r="AA104" s="198" t="str">
        <f t="shared" si="29"/>
        <v/>
      </c>
      <c r="AB104" s="201"/>
      <c r="AC104" s="198" t="str">
        <f t="shared" si="30"/>
        <v/>
      </c>
      <c r="AD104" s="201"/>
      <c r="AE104" s="198" t="str">
        <f t="shared" si="31"/>
        <v/>
      </c>
      <c r="AF104" s="201"/>
      <c r="AG104" s="198" t="str">
        <f t="shared" si="32"/>
        <v/>
      </c>
      <c r="AH104" s="201"/>
      <c r="AI104" s="198" t="str">
        <f t="shared" si="33"/>
        <v/>
      </c>
      <c r="AJ104" s="201"/>
      <c r="AK104" s="198" t="str">
        <f t="shared" si="34"/>
        <v/>
      </c>
      <c r="AL104" s="201"/>
      <c r="AM104" s="198" t="str">
        <f t="shared" si="35"/>
        <v/>
      </c>
      <c r="AN104" s="201"/>
      <c r="AO104" s="198" t="str">
        <f t="shared" si="36"/>
        <v/>
      </c>
      <c r="AP104" s="201"/>
      <c r="AQ104" s="198" t="str">
        <f t="shared" si="37"/>
        <v/>
      </c>
    </row>
    <row r="105" spans="1:43">
      <c r="A105" s="200"/>
      <c r="B105">
        <v>0.41165865384615402</v>
      </c>
      <c r="D105" s="201"/>
      <c r="E105" s="198" t="str">
        <f t="shared" si="19"/>
        <v/>
      </c>
      <c r="F105" s="201"/>
      <c r="G105" s="198" t="str">
        <f t="shared" si="19"/>
        <v/>
      </c>
      <c r="H105" s="201"/>
      <c r="I105" s="198" t="str">
        <f t="shared" si="20"/>
        <v/>
      </c>
      <c r="J105" s="201"/>
      <c r="K105" s="198" t="str">
        <f t="shared" si="21"/>
        <v/>
      </c>
      <c r="L105" s="201"/>
      <c r="M105" s="198" t="str">
        <f t="shared" si="22"/>
        <v/>
      </c>
      <c r="N105" s="201">
        <v>200</v>
      </c>
      <c r="O105" s="198">
        <f t="shared" si="23"/>
        <v>485.83941605839397</v>
      </c>
      <c r="P105" s="201"/>
      <c r="Q105" s="198" t="str">
        <f t="shared" si="24"/>
        <v/>
      </c>
      <c r="R105" s="201"/>
      <c r="S105" s="198" t="str">
        <f t="shared" si="25"/>
        <v/>
      </c>
      <c r="T105" s="201"/>
      <c r="U105" s="198" t="str">
        <f t="shared" si="26"/>
        <v/>
      </c>
      <c r="V105" s="201"/>
      <c r="W105" s="198" t="str">
        <f t="shared" si="27"/>
        <v/>
      </c>
      <c r="X105" s="201"/>
      <c r="Y105" s="198" t="str">
        <f t="shared" si="28"/>
        <v/>
      </c>
      <c r="Z105" s="201"/>
      <c r="AA105" s="198" t="str">
        <f t="shared" si="29"/>
        <v/>
      </c>
      <c r="AB105" s="201"/>
      <c r="AC105" s="198" t="str">
        <f t="shared" si="30"/>
        <v/>
      </c>
      <c r="AD105" s="201"/>
      <c r="AE105" s="198" t="str">
        <f t="shared" si="31"/>
        <v/>
      </c>
      <c r="AF105" s="201"/>
      <c r="AG105" s="198" t="str">
        <f t="shared" si="32"/>
        <v/>
      </c>
      <c r="AH105" s="201"/>
      <c r="AI105" s="198" t="str">
        <f t="shared" si="33"/>
        <v/>
      </c>
      <c r="AJ105" s="201"/>
      <c r="AK105" s="198" t="str">
        <f t="shared" si="34"/>
        <v/>
      </c>
      <c r="AL105" s="201"/>
      <c r="AM105" s="198" t="str">
        <f t="shared" si="35"/>
        <v/>
      </c>
      <c r="AN105" s="201"/>
      <c r="AO105" s="198" t="str">
        <f t="shared" si="36"/>
        <v/>
      </c>
      <c r="AP105" s="201">
        <v>200</v>
      </c>
      <c r="AQ105" s="198">
        <f t="shared" si="37"/>
        <v>485.83941605839397</v>
      </c>
    </row>
    <row r="106" spans="1:43">
      <c r="A106" s="190" t="s">
        <v>260</v>
      </c>
      <c r="B106" s="196">
        <v>2.52</v>
      </c>
      <c r="D106" s="197">
        <v>471</v>
      </c>
      <c r="E106" s="198">
        <f t="shared" si="19"/>
        <v>186.9047619047619</v>
      </c>
      <c r="F106" s="197"/>
      <c r="G106" s="198" t="str">
        <f t="shared" si="19"/>
        <v/>
      </c>
      <c r="H106" s="197"/>
      <c r="I106" s="198" t="str">
        <f t="shared" si="20"/>
        <v/>
      </c>
      <c r="J106" s="197"/>
      <c r="K106" s="198" t="str">
        <f t="shared" si="21"/>
        <v/>
      </c>
      <c r="L106" s="197"/>
      <c r="M106" s="198" t="str">
        <f t="shared" si="22"/>
        <v/>
      </c>
      <c r="N106" s="197"/>
      <c r="O106" s="198" t="str">
        <f t="shared" si="23"/>
        <v/>
      </c>
      <c r="P106" s="197">
        <v>3598</v>
      </c>
      <c r="Q106" s="198">
        <f t="shared" si="24"/>
        <v>1427.7777777777778</v>
      </c>
      <c r="R106" s="197"/>
      <c r="S106" s="198" t="str">
        <f t="shared" si="25"/>
        <v/>
      </c>
      <c r="T106" s="197"/>
      <c r="U106" s="198" t="str">
        <f t="shared" si="26"/>
        <v/>
      </c>
      <c r="V106" s="197"/>
      <c r="W106" s="198" t="str">
        <f t="shared" si="27"/>
        <v/>
      </c>
      <c r="X106" s="197"/>
      <c r="Y106" s="198" t="str">
        <f t="shared" si="28"/>
        <v/>
      </c>
      <c r="Z106" s="197"/>
      <c r="AA106" s="198" t="str">
        <f t="shared" si="29"/>
        <v/>
      </c>
      <c r="AB106" s="197"/>
      <c r="AC106" s="198" t="str">
        <f t="shared" si="30"/>
        <v/>
      </c>
      <c r="AD106" s="197"/>
      <c r="AE106" s="198" t="str">
        <f t="shared" si="31"/>
        <v/>
      </c>
      <c r="AF106" s="197"/>
      <c r="AG106" s="198" t="str">
        <f t="shared" si="32"/>
        <v/>
      </c>
      <c r="AH106" s="197"/>
      <c r="AI106" s="198" t="str">
        <f t="shared" si="33"/>
        <v/>
      </c>
      <c r="AJ106" s="197">
        <v>2000</v>
      </c>
      <c r="AK106" s="198">
        <f t="shared" si="34"/>
        <v>793.65079365079362</v>
      </c>
      <c r="AL106" s="197"/>
      <c r="AM106" s="198" t="str">
        <f t="shared" si="35"/>
        <v/>
      </c>
      <c r="AN106" s="197"/>
      <c r="AO106" s="198" t="str">
        <f t="shared" si="36"/>
        <v/>
      </c>
      <c r="AP106" s="197">
        <v>5598</v>
      </c>
      <c r="AQ106" s="198">
        <f t="shared" si="37"/>
        <v>2221.4285714285716</v>
      </c>
    </row>
    <row r="107" spans="1:43">
      <c r="A107" s="200"/>
      <c r="B107">
        <v>0.85</v>
      </c>
      <c r="D107" s="201">
        <v>2718</v>
      </c>
      <c r="E107" s="198">
        <f t="shared" si="19"/>
        <v>3197.6470588235293</v>
      </c>
      <c r="F107" s="201">
        <v>526</v>
      </c>
      <c r="G107" s="198">
        <f t="shared" si="19"/>
        <v>618.82352941176475</v>
      </c>
      <c r="H107" s="201"/>
      <c r="I107" s="198" t="str">
        <f t="shared" si="20"/>
        <v/>
      </c>
      <c r="J107" s="201"/>
      <c r="K107" s="198" t="str">
        <f t="shared" si="21"/>
        <v/>
      </c>
      <c r="L107" s="201"/>
      <c r="M107" s="198" t="str">
        <f t="shared" si="22"/>
        <v/>
      </c>
      <c r="N107" s="201">
        <v>202</v>
      </c>
      <c r="O107" s="198">
        <f t="shared" si="23"/>
        <v>237.64705882352942</v>
      </c>
      <c r="P107" s="201">
        <v>525</v>
      </c>
      <c r="Q107" s="198">
        <f t="shared" si="24"/>
        <v>617.64705882352939</v>
      </c>
      <c r="R107" s="201">
        <v>9</v>
      </c>
      <c r="S107" s="198">
        <f t="shared" si="25"/>
        <v>10.588235294117647</v>
      </c>
      <c r="T107" s="201"/>
      <c r="U107" s="198" t="str">
        <f t="shared" si="26"/>
        <v/>
      </c>
      <c r="V107" s="201"/>
      <c r="W107" s="198" t="str">
        <f t="shared" si="27"/>
        <v/>
      </c>
      <c r="X107" s="201"/>
      <c r="Y107" s="198" t="str">
        <f t="shared" si="28"/>
        <v/>
      </c>
      <c r="Z107" s="201"/>
      <c r="AA107" s="198" t="str">
        <f t="shared" si="29"/>
        <v/>
      </c>
      <c r="AB107" s="201"/>
      <c r="AC107" s="198" t="str">
        <f t="shared" si="30"/>
        <v/>
      </c>
      <c r="AD107" s="201"/>
      <c r="AE107" s="198" t="str">
        <f t="shared" si="31"/>
        <v/>
      </c>
      <c r="AF107" s="201"/>
      <c r="AG107" s="198" t="str">
        <f t="shared" si="32"/>
        <v/>
      </c>
      <c r="AH107" s="201"/>
      <c r="AI107" s="198" t="str">
        <f t="shared" si="33"/>
        <v/>
      </c>
      <c r="AJ107" s="201">
        <v>202</v>
      </c>
      <c r="AK107" s="198">
        <f t="shared" si="34"/>
        <v>237.64705882352942</v>
      </c>
      <c r="AL107" s="201"/>
      <c r="AM107" s="198" t="str">
        <f t="shared" si="35"/>
        <v/>
      </c>
      <c r="AN107" s="201"/>
      <c r="AO107" s="198" t="str">
        <f t="shared" si="36"/>
        <v/>
      </c>
      <c r="AP107" s="201">
        <v>1464</v>
      </c>
      <c r="AQ107" s="198">
        <f t="shared" si="37"/>
        <v>1722.3529411764707</v>
      </c>
    </row>
    <row r="108" spans="1:43">
      <c r="A108" s="200"/>
      <c r="D108" s="201"/>
      <c r="E108" s="198" t="str">
        <f t="shared" si="19"/>
        <v/>
      </c>
      <c r="F108" s="201"/>
      <c r="G108" s="198" t="str">
        <f t="shared" si="19"/>
        <v/>
      </c>
      <c r="H108" s="201"/>
      <c r="I108" s="198" t="str">
        <f t="shared" si="20"/>
        <v/>
      </c>
      <c r="J108" s="201"/>
      <c r="K108" s="198" t="str">
        <f t="shared" si="21"/>
        <v/>
      </c>
      <c r="L108" s="201"/>
      <c r="M108" s="198" t="str">
        <f t="shared" si="22"/>
        <v/>
      </c>
      <c r="N108" s="201"/>
      <c r="O108" s="198" t="str">
        <f t="shared" si="23"/>
        <v/>
      </c>
      <c r="P108" s="201"/>
      <c r="Q108" s="198" t="str">
        <f t="shared" si="24"/>
        <v/>
      </c>
      <c r="R108" s="201"/>
      <c r="S108" s="198" t="str">
        <f t="shared" si="25"/>
        <v/>
      </c>
      <c r="T108" s="201"/>
      <c r="U108" s="198" t="str">
        <f t="shared" si="26"/>
        <v/>
      </c>
      <c r="V108" s="201"/>
      <c r="W108" s="198" t="str">
        <f t="shared" si="27"/>
        <v/>
      </c>
      <c r="X108" s="201"/>
      <c r="Y108" s="198" t="str">
        <f t="shared" si="28"/>
        <v/>
      </c>
      <c r="Z108" s="201"/>
      <c r="AA108" s="198" t="str">
        <f t="shared" si="29"/>
        <v/>
      </c>
      <c r="AB108" s="201"/>
      <c r="AC108" s="198" t="str">
        <f t="shared" si="30"/>
        <v/>
      </c>
      <c r="AD108" s="201">
        <v>320</v>
      </c>
      <c r="AE108" s="198" t="str">
        <f t="shared" si="31"/>
        <v/>
      </c>
      <c r="AF108" s="201"/>
      <c r="AG108" s="198" t="str">
        <f t="shared" si="32"/>
        <v/>
      </c>
      <c r="AH108" s="201"/>
      <c r="AI108" s="198" t="str">
        <f t="shared" si="33"/>
        <v/>
      </c>
      <c r="AJ108" s="201"/>
      <c r="AK108" s="198" t="str">
        <f t="shared" si="34"/>
        <v/>
      </c>
      <c r="AL108" s="201"/>
      <c r="AM108" s="198" t="str">
        <f t="shared" si="35"/>
        <v/>
      </c>
      <c r="AN108" s="201"/>
      <c r="AO108" s="198" t="str">
        <f t="shared" si="36"/>
        <v/>
      </c>
      <c r="AP108" s="201">
        <v>320</v>
      </c>
      <c r="AQ108" s="198" t="str">
        <f t="shared" si="37"/>
        <v/>
      </c>
    </row>
    <row r="109" spans="1:43">
      <c r="A109" s="200"/>
      <c r="B109">
        <v>6.27</v>
      </c>
      <c r="D109" s="201">
        <v>42661</v>
      </c>
      <c r="E109" s="198">
        <f t="shared" si="19"/>
        <v>6803.9872408293468</v>
      </c>
      <c r="F109" s="201">
        <v>2000</v>
      </c>
      <c r="G109" s="198">
        <f t="shared" si="19"/>
        <v>318.97926634768743</v>
      </c>
      <c r="H109" s="201"/>
      <c r="I109" s="198" t="str">
        <f t="shared" si="20"/>
        <v/>
      </c>
      <c r="J109" s="201"/>
      <c r="K109" s="198" t="str">
        <f t="shared" si="21"/>
        <v/>
      </c>
      <c r="L109" s="201"/>
      <c r="M109" s="198" t="str">
        <f t="shared" si="22"/>
        <v/>
      </c>
      <c r="N109" s="201"/>
      <c r="O109" s="198" t="str">
        <f t="shared" si="23"/>
        <v/>
      </c>
      <c r="P109" s="201">
        <v>6026</v>
      </c>
      <c r="Q109" s="198">
        <f t="shared" si="24"/>
        <v>961.08452950558217</v>
      </c>
      <c r="R109" s="201">
        <v>300</v>
      </c>
      <c r="S109" s="198">
        <f t="shared" si="25"/>
        <v>47.846889952153113</v>
      </c>
      <c r="T109" s="201"/>
      <c r="U109" s="198" t="str">
        <f t="shared" si="26"/>
        <v/>
      </c>
      <c r="V109" s="201"/>
      <c r="W109" s="198" t="str">
        <f t="shared" si="27"/>
        <v/>
      </c>
      <c r="X109" s="201"/>
      <c r="Y109" s="198" t="str">
        <f t="shared" si="28"/>
        <v/>
      </c>
      <c r="Z109" s="201"/>
      <c r="AA109" s="198" t="str">
        <f t="shared" si="29"/>
        <v/>
      </c>
      <c r="AB109" s="201"/>
      <c r="AC109" s="198" t="str">
        <f t="shared" si="30"/>
        <v/>
      </c>
      <c r="AD109" s="201"/>
      <c r="AE109" s="198" t="str">
        <f t="shared" si="31"/>
        <v/>
      </c>
      <c r="AF109" s="201">
        <v>6</v>
      </c>
      <c r="AG109" s="198">
        <f t="shared" si="32"/>
        <v>0.95693779904306231</v>
      </c>
      <c r="AH109" s="201"/>
      <c r="AI109" s="198" t="str">
        <f t="shared" si="33"/>
        <v/>
      </c>
      <c r="AJ109" s="201">
        <v>11098</v>
      </c>
      <c r="AK109" s="198">
        <f t="shared" si="34"/>
        <v>1770.0159489633174</v>
      </c>
      <c r="AL109" s="201"/>
      <c r="AM109" s="198" t="str">
        <f t="shared" si="35"/>
        <v/>
      </c>
      <c r="AN109" s="201"/>
      <c r="AO109" s="198" t="str">
        <f t="shared" si="36"/>
        <v/>
      </c>
      <c r="AP109" s="201">
        <v>19430</v>
      </c>
      <c r="AQ109" s="198">
        <f t="shared" si="37"/>
        <v>3098.8835725677832</v>
      </c>
    </row>
    <row r="110" spans="1:43">
      <c r="A110" s="200"/>
      <c r="B110">
        <v>3.78</v>
      </c>
      <c r="D110" s="201">
        <v>27398</v>
      </c>
      <c r="E110" s="198">
        <f t="shared" si="19"/>
        <v>7248.1481481481487</v>
      </c>
      <c r="F110" s="201"/>
      <c r="G110" s="198" t="str">
        <f t="shared" si="19"/>
        <v/>
      </c>
      <c r="H110" s="201"/>
      <c r="I110" s="198" t="str">
        <f t="shared" si="20"/>
        <v/>
      </c>
      <c r="J110" s="201"/>
      <c r="K110" s="198" t="str">
        <f t="shared" si="21"/>
        <v/>
      </c>
      <c r="L110" s="201"/>
      <c r="M110" s="198" t="str">
        <f t="shared" si="22"/>
        <v/>
      </c>
      <c r="N110" s="201">
        <v>8</v>
      </c>
      <c r="O110" s="198">
        <f t="shared" si="23"/>
        <v>2.1164021164021167</v>
      </c>
      <c r="P110" s="201">
        <v>9271</v>
      </c>
      <c r="Q110" s="198">
        <f t="shared" si="24"/>
        <v>2452.6455026455028</v>
      </c>
      <c r="R110" s="201"/>
      <c r="S110" s="198" t="str">
        <f t="shared" si="25"/>
        <v/>
      </c>
      <c r="T110" s="201"/>
      <c r="U110" s="198" t="str">
        <f t="shared" si="26"/>
        <v/>
      </c>
      <c r="V110" s="201"/>
      <c r="W110" s="198" t="str">
        <f t="shared" si="27"/>
        <v/>
      </c>
      <c r="X110" s="201"/>
      <c r="Y110" s="198" t="str">
        <f t="shared" si="28"/>
        <v/>
      </c>
      <c r="Z110" s="201"/>
      <c r="AA110" s="198" t="str">
        <f t="shared" si="29"/>
        <v/>
      </c>
      <c r="AB110" s="201"/>
      <c r="AC110" s="198" t="str">
        <f t="shared" si="30"/>
        <v/>
      </c>
      <c r="AD110" s="201"/>
      <c r="AE110" s="198" t="str">
        <f t="shared" si="31"/>
        <v/>
      </c>
      <c r="AF110" s="201"/>
      <c r="AG110" s="198" t="str">
        <f t="shared" si="32"/>
        <v/>
      </c>
      <c r="AH110" s="201"/>
      <c r="AI110" s="198" t="str">
        <f t="shared" si="33"/>
        <v/>
      </c>
      <c r="AJ110" s="201">
        <v>2142</v>
      </c>
      <c r="AK110" s="198">
        <f t="shared" si="34"/>
        <v>566.66666666666674</v>
      </c>
      <c r="AL110" s="201"/>
      <c r="AM110" s="198" t="str">
        <f t="shared" si="35"/>
        <v/>
      </c>
      <c r="AN110" s="201"/>
      <c r="AO110" s="198" t="str">
        <f t="shared" si="36"/>
        <v/>
      </c>
      <c r="AP110" s="201">
        <v>11421</v>
      </c>
      <c r="AQ110" s="198">
        <f t="shared" si="37"/>
        <v>3021.4285714285716</v>
      </c>
    </row>
    <row r="111" spans="1:43">
      <c r="A111" s="200"/>
      <c r="D111" s="201"/>
      <c r="E111" s="198" t="str">
        <f t="shared" si="19"/>
        <v/>
      </c>
      <c r="F111" s="201"/>
      <c r="G111" s="198" t="str">
        <f t="shared" si="19"/>
        <v/>
      </c>
      <c r="H111" s="201"/>
      <c r="I111" s="198" t="str">
        <f t="shared" si="20"/>
        <v/>
      </c>
      <c r="J111" s="201"/>
      <c r="K111" s="198" t="str">
        <f t="shared" si="21"/>
        <v/>
      </c>
      <c r="L111" s="201"/>
      <c r="M111" s="198" t="str">
        <f t="shared" si="22"/>
        <v/>
      </c>
      <c r="N111" s="201"/>
      <c r="O111" s="198" t="str">
        <f t="shared" si="23"/>
        <v/>
      </c>
      <c r="P111" s="201"/>
      <c r="Q111" s="198" t="str">
        <f t="shared" si="24"/>
        <v/>
      </c>
      <c r="R111" s="201"/>
      <c r="S111" s="198" t="str">
        <f t="shared" si="25"/>
        <v/>
      </c>
      <c r="T111" s="201"/>
      <c r="U111" s="198" t="str">
        <f t="shared" si="26"/>
        <v/>
      </c>
      <c r="V111" s="201"/>
      <c r="W111" s="198" t="str">
        <f t="shared" si="27"/>
        <v/>
      </c>
      <c r="X111" s="201"/>
      <c r="Y111" s="198" t="str">
        <f t="shared" si="28"/>
        <v/>
      </c>
      <c r="Z111" s="201"/>
      <c r="AA111" s="198" t="str">
        <f t="shared" si="29"/>
        <v/>
      </c>
      <c r="AB111" s="201"/>
      <c r="AC111" s="198" t="str">
        <f t="shared" si="30"/>
        <v/>
      </c>
      <c r="AD111" s="201">
        <v>50850</v>
      </c>
      <c r="AE111" s="198" t="str">
        <f t="shared" si="31"/>
        <v/>
      </c>
      <c r="AF111" s="201"/>
      <c r="AG111" s="198" t="str">
        <f t="shared" si="32"/>
        <v/>
      </c>
      <c r="AH111" s="201"/>
      <c r="AI111" s="198" t="str">
        <f t="shared" si="33"/>
        <v/>
      </c>
      <c r="AJ111" s="201"/>
      <c r="AK111" s="198" t="str">
        <f t="shared" si="34"/>
        <v/>
      </c>
      <c r="AL111" s="201"/>
      <c r="AM111" s="198" t="str">
        <f t="shared" si="35"/>
        <v/>
      </c>
      <c r="AN111" s="201"/>
      <c r="AO111" s="198" t="str">
        <f t="shared" si="36"/>
        <v/>
      </c>
      <c r="AP111" s="201">
        <v>50850</v>
      </c>
      <c r="AQ111" s="198" t="str">
        <f t="shared" si="37"/>
        <v/>
      </c>
    </row>
    <row r="112" spans="1:43">
      <c r="A112" s="190" t="s">
        <v>261</v>
      </c>
      <c r="B112" s="196">
        <v>0.02</v>
      </c>
      <c r="D112" s="197">
        <v>362</v>
      </c>
      <c r="E112" s="198">
        <f t="shared" si="19"/>
        <v>18100</v>
      </c>
      <c r="F112" s="197">
        <v>75661</v>
      </c>
      <c r="G112" s="198">
        <f t="shared" si="19"/>
        <v>3783050</v>
      </c>
      <c r="H112" s="197"/>
      <c r="I112" s="198" t="str">
        <f t="shared" si="20"/>
        <v/>
      </c>
      <c r="J112" s="197"/>
      <c r="K112" s="198" t="str">
        <f t="shared" si="21"/>
        <v/>
      </c>
      <c r="L112" s="197"/>
      <c r="M112" s="198" t="str">
        <f t="shared" si="22"/>
        <v/>
      </c>
      <c r="N112" s="197">
        <v>1</v>
      </c>
      <c r="O112" s="198">
        <f t="shared" si="23"/>
        <v>50</v>
      </c>
      <c r="P112" s="197"/>
      <c r="Q112" s="198" t="str">
        <f t="shared" si="24"/>
        <v/>
      </c>
      <c r="R112" s="197">
        <v>210</v>
      </c>
      <c r="S112" s="198">
        <f t="shared" si="25"/>
        <v>10500</v>
      </c>
      <c r="T112" s="197"/>
      <c r="U112" s="198" t="str">
        <f t="shared" si="26"/>
        <v/>
      </c>
      <c r="V112" s="197"/>
      <c r="W112" s="198" t="str">
        <f t="shared" si="27"/>
        <v/>
      </c>
      <c r="X112" s="197"/>
      <c r="Y112" s="198" t="str">
        <f t="shared" si="28"/>
        <v/>
      </c>
      <c r="Z112" s="197"/>
      <c r="AA112" s="198" t="str">
        <f t="shared" si="29"/>
        <v/>
      </c>
      <c r="AB112" s="197"/>
      <c r="AC112" s="198" t="str">
        <f t="shared" si="30"/>
        <v/>
      </c>
      <c r="AD112" s="197"/>
      <c r="AE112" s="198" t="str">
        <f t="shared" si="31"/>
        <v/>
      </c>
      <c r="AF112" s="197"/>
      <c r="AG112" s="198" t="str">
        <f t="shared" si="32"/>
        <v/>
      </c>
      <c r="AH112" s="197"/>
      <c r="AI112" s="198" t="str">
        <f t="shared" si="33"/>
        <v/>
      </c>
      <c r="AJ112" s="197">
        <v>1</v>
      </c>
      <c r="AK112" s="198">
        <f t="shared" si="34"/>
        <v>50</v>
      </c>
      <c r="AL112" s="197"/>
      <c r="AM112" s="198" t="str">
        <f t="shared" si="35"/>
        <v/>
      </c>
      <c r="AN112" s="197">
        <v>325</v>
      </c>
      <c r="AO112" s="198">
        <f t="shared" si="36"/>
        <v>16250</v>
      </c>
      <c r="AP112" s="197">
        <v>76198</v>
      </c>
      <c r="AQ112" s="198">
        <f t="shared" si="37"/>
        <v>3809900</v>
      </c>
    </row>
    <row r="113" spans="1:43">
      <c r="A113" s="200"/>
      <c r="B113">
        <v>0.64</v>
      </c>
      <c r="D113" s="201">
        <v>2627</v>
      </c>
      <c r="E113" s="198">
        <f t="shared" si="19"/>
        <v>4104.6875</v>
      </c>
      <c r="F113" s="201">
        <v>21069</v>
      </c>
      <c r="G113" s="198">
        <f t="shared" si="19"/>
        <v>32920.3125</v>
      </c>
      <c r="H113" s="201"/>
      <c r="I113" s="198" t="str">
        <f t="shared" si="20"/>
        <v/>
      </c>
      <c r="J113" s="201"/>
      <c r="K113" s="198" t="str">
        <f t="shared" si="21"/>
        <v/>
      </c>
      <c r="L113" s="201"/>
      <c r="M113" s="198" t="str">
        <f t="shared" si="22"/>
        <v/>
      </c>
      <c r="N113" s="201">
        <v>122</v>
      </c>
      <c r="O113" s="198">
        <f t="shared" si="23"/>
        <v>190.625</v>
      </c>
      <c r="P113" s="201">
        <v>221</v>
      </c>
      <c r="Q113" s="198">
        <f t="shared" si="24"/>
        <v>345.3125</v>
      </c>
      <c r="R113" s="201">
        <v>9</v>
      </c>
      <c r="S113" s="198">
        <f t="shared" si="25"/>
        <v>14.0625</v>
      </c>
      <c r="T113" s="201"/>
      <c r="U113" s="198" t="str">
        <f t="shared" si="26"/>
        <v/>
      </c>
      <c r="V113" s="201"/>
      <c r="W113" s="198" t="str">
        <f t="shared" si="27"/>
        <v/>
      </c>
      <c r="X113" s="201"/>
      <c r="Y113" s="198" t="str">
        <f t="shared" si="28"/>
        <v/>
      </c>
      <c r="Z113" s="201"/>
      <c r="AA113" s="198" t="str">
        <f t="shared" si="29"/>
        <v/>
      </c>
      <c r="AB113" s="201"/>
      <c r="AC113" s="198" t="str">
        <f t="shared" si="30"/>
        <v/>
      </c>
      <c r="AD113" s="201"/>
      <c r="AE113" s="198" t="str">
        <f t="shared" si="31"/>
        <v/>
      </c>
      <c r="AF113" s="201"/>
      <c r="AG113" s="198" t="str">
        <f t="shared" si="32"/>
        <v/>
      </c>
      <c r="AH113" s="201"/>
      <c r="AI113" s="198" t="str">
        <f t="shared" si="33"/>
        <v/>
      </c>
      <c r="AJ113" s="201">
        <v>39</v>
      </c>
      <c r="AK113" s="198">
        <f t="shared" si="34"/>
        <v>60.9375</v>
      </c>
      <c r="AL113" s="201"/>
      <c r="AM113" s="198" t="str">
        <f t="shared" si="35"/>
        <v/>
      </c>
      <c r="AN113" s="201">
        <v>501</v>
      </c>
      <c r="AO113" s="198">
        <f t="shared" si="36"/>
        <v>782.8125</v>
      </c>
      <c r="AP113" s="201">
        <v>21961</v>
      </c>
      <c r="AQ113" s="198">
        <f t="shared" si="37"/>
        <v>34314.0625</v>
      </c>
    </row>
    <row r="114" spans="1:43">
      <c r="A114" s="200"/>
      <c r="B114">
        <v>0.69</v>
      </c>
      <c r="D114" s="201">
        <v>4231</v>
      </c>
      <c r="E114" s="198">
        <f t="shared" si="19"/>
        <v>6131.884057971015</v>
      </c>
      <c r="F114" s="201">
        <v>1026</v>
      </c>
      <c r="G114" s="198">
        <f t="shared" si="19"/>
        <v>1486.9565217391305</v>
      </c>
      <c r="H114" s="201"/>
      <c r="I114" s="198" t="str">
        <f t="shared" si="20"/>
        <v/>
      </c>
      <c r="J114" s="201"/>
      <c r="K114" s="198" t="str">
        <f t="shared" si="21"/>
        <v/>
      </c>
      <c r="L114" s="201"/>
      <c r="M114" s="198" t="str">
        <f t="shared" si="22"/>
        <v/>
      </c>
      <c r="N114" s="201">
        <v>233</v>
      </c>
      <c r="O114" s="198">
        <f t="shared" si="23"/>
        <v>337.68115942028987</v>
      </c>
      <c r="P114" s="201">
        <v>1149</v>
      </c>
      <c r="Q114" s="198">
        <f t="shared" si="24"/>
        <v>1665.217391304348</v>
      </c>
      <c r="R114" s="201">
        <v>6</v>
      </c>
      <c r="S114" s="198">
        <f t="shared" si="25"/>
        <v>8.6956521739130448</v>
      </c>
      <c r="T114" s="201"/>
      <c r="U114" s="198" t="str">
        <f t="shared" si="26"/>
        <v/>
      </c>
      <c r="V114" s="201"/>
      <c r="W114" s="198" t="str">
        <f t="shared" si="27"/>
        <v/>
      </c>
      <c r="X114" s="201"/>
      <c r="Y114" s="198" t="str">
        <f t="shared" si="28"/>
        <v/>
      </c>
      <c r="Z114" s="201"/>
      <c r="AA114" s="198" t="str">
        <f t="shared" si="29"/>
        <v/>
      </c>
      <c r="AB114" s="201"/>
      <c r="AC114" s="198" t="str">
        <f t="shared" si="30"/>
        <v/>
      </c>
      <c r="AD114" s="201"/>
      <c r="AE114" s="198" t="str">
        <f t="shared" si="31"/>
        <v/>
      </c>
      <c r="AF114" s="201"/>
      <c r="AG114" s="198" t="str">
        <f t="shared" si="32"/>
        <v/>
      </c>
      <c r="AH114" s="201"/>
      <c r="AI114" s="198" t="str">
        <f t="shared" si="33"/>
        <v/>
      </c>
      <c r="AJ114" s="201">
        <v>994</v>
      </c>
      <c r="AK114" s="198">
        <f t="shared" si="34"/>
        <v>1440.5797101449277</v>
      </c>
      <c r="AL114" s="201"/>
      <c r="AM114" s="198" t="str">
        <f t="shared" si="35"/>
        <v/>
      </c>
      <c r="AN114" s="201">
        <v>2017</v>
      </c>
      <c r="AO114" s="198">
        <f t="shared" si="36"/>
        <v>2923.1884057971015</v>
      </c>
      <c r="AP114" s="201">
        <v>5425</v>
      </c>
      <c r="AQ114" s="198">
        <f t="shared" si="37"/>
        <v>7862.3188405797109</v>
      </c>
    </row>
    <row r="115" spans="1:43">
      <c r="A115" s="200"/>
      <c r="B115">
        <v>0.01</v>
      </c>
      <c r="D115" s="201">
        <v>677</v>
      </c>
      <c r="E115" s="198">
        <f t="shared" si="19"/>
        <v>67700</v>
      </c>
      <c r="F115" s="201">
        <v>7194</v>
      </c>
      <c r="G115" s="198">
        <f t="shared" si="19"/>
        <v>719400</v>
      </c>
      <c r="H115" s="201"/>
      <c r="I115" s="198" t="str">
        <f t="shared" si="20"/>
        <v/>
      </c>
      <c r="J115" s="201"/>
      <c r="K115" s="198" t="str">
        <f t="shared" si="21"/>
        <v/>
      </c>
      <c r="L115" s="201"/>
      <c r="M115" s="198" t="str">
        <f t="shared" si="22"/>
        <v/>
      </c>
      <c r="N115" s="201">
        <v>8</v>
      </c>
      <c r="O115" s="198">
        <f t="shared" si="23"/>
        <v>800</v>
      </c>
      <c r="P115" s="201"/>
      <c r="Q115" s="198" t="str">
        <f t="shared" si="24"/>
        <v/>
      </c>
      <c r="R115" s="201">
        <v>4</v>
      </c>
      <c r="S115" s="198">
        <f t="shared" si="25"/>
        <v>400</v>
      </c>
      <c r="T115" s="201"/>
      <c r="U115" s="198" t="str">
        <f t="shared" si="26"/>
        <v/>
      </c>
      <c r="V115" s="201">
        <v>1</v>
      </c>
      <c r="W115" s="198">
        <f t="shared" si="27"/>
        <v>100</v>
      </c>
      <c r="X115" s="201"/>
      <c r="Y115" s="198" t="str">
        <f t="shared" si="28"/>
        <v/>
      </c>
      <c r="Z115" s="201"/>
      <c r="AA115" s="198" t="str">
        <f t="shared" si="29"/>
        <v/>
      </c>
      <c r="AB115" s="201"/>
      <c r="AC115" s="198" t="str">
        <f t="shared" si="30"/>
        <v/>
      </c>
      <c r="AD115" s="201"/>
      <c r="AE115" s="198" t="str">
        <f t="shared" si="31"/>
        <v/>
      </c>
      <c r="AF115" s="201"/>
      <c r="AG115" s="198" t="str">
        <f t="shared" si="32"/>
        <v/>
      </c>
      <c r="AH115" s="201"/>
      <c r="AI115" s="198" t="str">
        <f t="shared" si="33"/>
        <v/>
      </c>
      <c r="AJ115" s="201">
        <v>1</v>
      </c>
      <c r="AK115" s="198">
        <f t="shared" si="34"/>
        <v>100</v>
      </c>
      <c r="AL115" s="201"/>
      <c r="AM115" s="198" t="str">
        <f t="shared" si="35"/>
        <v/>
      </c>
      <c r="AN115" s="201">
        <v>114</v>
      </c>
      <c r="AO115" s="198">
        <f t="shared" si="36"/>
        <v>11400</v>
      </c>
      <c r="AP115" s="201">
        <v>7322</v>
      </c>
      <c r="AQ115" s="198">
        <f t="shared" si="37"/>
        <v>732200</v>
      </c>
    </row>
    <row r="116" spans="1:43">
      <c r="A116" s="200"/>
      <c r="B116">
        <v>0.01</v>
      </c>
      <c r="D116" s="201">
        <v>193</v>
      </c>
      <c r="E116" s="198">
        <f t="shared" si="19"/>
        <v>19300</v>
      </c>
      <c r="F116" s="201">
        <v>2858</v>
      </c>
      <c r="G116" s="198">
        <f t="shared" si="19"/>
        <v>285800</v>
      </c>
      <c r="H116" s="201"/>
      <c r="I116" s="198" t="str">
        <f t="shared" si="20"/>
        <v/>
      </c>
      <c r="J116" s="201"/>
      <c r="K116" s="198" t="str">
        <f t="shared" si="21"/>
        <v/>
      </c>
      <c r="L116" s="201"/>
      <c r="M116" s="198" t="str">
        <f t="shared" si="22"/>
        <v/>
      </c>
      <c r="N116" s="201"/>
      <c r="O116" s="198" t="str">
        <f t="shared" si="23"/>
        <v/>
      </c>
      <c r="P116" s="201"/>
      <c r="Q116" s="198" t="str">
        <f t="shared" si="24"/>
        <v/>
      </c>
      <c r="R116" s="201">
        <v>4</v>
      </c>
      <c r="S116" s="198">
        <f t="shared" si="25"/>
        <v>400</v>
      </c>
      <c r="T116" s="201"/>
      <c r="U116" s="198" t="str">
        <f t="shared" si="26"/>
        <v/>
      </c>
      <c r="V116" s="201"/>
      <c r="W116" s="198" t="str">
        <f t="shared" si="27"/>
        <v/>
      </c>
      <c r="X116" s="201"/>
      <c r="Y116" s="198" t="str">
        <f t="shared" si="28"/>
        <v/>
      </c>
      <c r="Z116" s="201"/>
      <c r="AA116" s="198" t="str">
        <f t="shared" si="29"/>
        <v/>
      </c>
      <c r="AB116" s="201"/>
      <c r="AC116" s="198" t="str">
        <f t="shared" si="30"/>
        <v/>
      </c>
      <c r="AD116" s="201"/>
      <c r="AE116" s="198" t="str">
        <f t="shared" si="31"/>
        <v/>
      </c>
      <c r="AF116" s="201"/>
      <c r="AG116" s="198" t="str">
        <f t="shared" si="32"/>
        <v/>
      </c>
      <c r="AH116" s="201"/>
      <c r="AI116" s="198" t="str">
        <f t="shared" si="33"/>
        <v/>
      </c>
      <c r="AJ116" s="201"/>
      <c r="AK116" s="198" t="str">
        <f t="shared" si="34"/>
        <v/>
      </c>
      <c r="AL116" s="201"/>
      <c r="AM116" s="198" t="str">
        <f t="shared" si="35"/>
        <v/>
      </c>
      <c r="AN116" s="201">
        <v>43</v>
      </c>
      <c r="AO116" s="198">
        <f t="shared" si="36"/>
        <v>4300</v>
      </c>
      <c r="AP116" s="201">
        <v>2905</v>
      </c>
      <c r="AQ116" s="198">
        <f t="shared" si="37"/>
        <v>290500</v>
      </c>
    </row>
    <row r="117" spans="1:43">
      <c r="A117" s="200"/>
      <c r="B117">
        <v>0.01</v>
      </c>
      <c r="D117" s="201">
        <v>253</v>
      </c>
      <c r="E117" s="198">
        <f t="shared" si="19"/>
        <v>25300</v>
      </c>
      <c r="F117" s="201">
        <v>17098</v>
      </c>
      <c r="G117" s="198">
        <f t="shared" si="19"/>
        <v>1709800</v>
      </c>
      <c r="H117" s="201"/>
      <c r="I117" s="198" t="str">
        <f t="shared" si="20"/>
        <v/>
      </c>
      <c r="J117" s="201"/>
      <c r="K117" s="198" t="str">
        <f t="shared" si="21"/>
        <v/>
      </c>
      <c r="L117" s="201"/>
      <c r="M117" s="198" t="str">
        <f t="shared" si="22"/>
        <v/>
      </c>
      <c r="N117" s="201">
        <v>3</v>
      </c>
      <c r="O117" s="198">
        <f t="shared" si="23"/>
        <v>300</v>
      </c>
      <c r="P117" s="201"/>
      <c r="Q117" s="198" t="str">
        <f t="shared" si="24"/>
        <v/>
      </c>
      <c r="R117" s="201">
        <v>1</v>
      </c>
      <c r="S117" s="198">
        <f t="shared" si="25"/>
        <v>100</v>
      </c>
      <c r="T117" s="201"/>
      <c r="U117" s="198" t="str">
        <f t="shared" si="26"/>
        <v/>
      </c>
      <c r="V117" s="201"/>
      <c r="W117" s="198" t="str">
        <f t="shared" si="27"/>
        <v/>
      </c>
      <c r="X117" s="201"/>
      <c r="Y117" s="198" t="str">
        <f t="shared" si="28"/>
        <v/>
      </c>
      <c r="Z117" s="201"/>
      <c r="AA117" s="198" t="str">
        <f t="shared" si="29"/>
        <v/>
      </c>
      <c r="AB117" s="201"/>
      <c r="AC117" s="198" t="str">
        <f t="shared" si="30"/>
        <v/>
      </c>
      <c r="AD117" s="201"/>
      <c r="AE117" s="198" t="str">
        <f t="shared" si="31"/>
        <v/>
      </c>
      <c r="AF117" s="201"/>
      <c r="AG117" s="198" t="str">
        <f t="shared" si="32"/>
        <v/>
      </c>
      <c r="AH117" s="201"/>
      <c r="AI117" s="198" t="str">
        <f t="shared" si="33"/>
        <v/>
      </c>
      <c r="AJ117" s="201"/>
      <c r="AK117" s="198" t="str">
        <f t="shared" si="34"/>
        <v/>
      </c>
      <c r="AL117" s="201"/>
      <c r="AM117" s="198" t="str">
        <f t="shared" si="35"/>
        <v/>
      </c>
      <c r="AN117" s="201">
        <v>37</v>
      </c>
      <c r="AO117" s="198">
        <f t="shared" si="36"/>
        <v>3700</v>
      </c>
      <c r="AP117" s="201">
        <v>17139</v>
      </c>
      <c r="AQ117" s="198">
        <f t="shared" si="37"/>
        <v>1713900</v>
      </c>
    </row>
    <row r="118" spans="1:43">
      <c r="A118" s="200"/>
      <c r="B118">
        <v>0.47</v>
      </c>
      <c r="D118" s="201">
        <v>5030</v>
      </c>
      <c r="E118" s="198">
        <f t="shared" si="19"/>
        <v>10702.127659574469</v>
      </c>
      <c r="F118" s="201">
        <v>50183</v>
      </c>
      <c r="G118" s="198">
        <f t="shared" si="19"/>
        <v>106772.34042553192</v>
      </c>
      <c r="H118" s="201"/>
      <c r="I118" s="198" t="str">
        <f t="shared" si="20"/>
        <v/>
      </c>
      <c r="J118" s="201">
        <v>189</v>
      </c>
      <c r="K118" s="198">
        <f t="shared" si="21"/>
        <v>402.12765957446811</v>
      </c>
      <c r="L118" s="201"/>
      <c r="M118" s="198" t="str">
        <f t="shared" si="22"/>
        <v/>
      </c>
      <c r="N118" s="201">
        <v>301</v>
      </c>
      <c r="O118" s="198">
        <f t="shared" si="23"/>
        <v>640.42553191489367</v>
      </c>
      <c r="P118" s="201">
        <v>422</v>
      </c>
      <c r="Q118" s="198">
        <f t="shared" si="24"/>
        <v>897.872340425532</v>
      </c>
      <c r="R118" s="201">
        <v>50</v>
      </c>
      <c r="S118" s="198">
        <f t="shared" si="25"/>
        <v>106.38297872340426</v>
      </c>
      <c r="T118" s="201"/>
      <c r="U118" s="198" t="str">
        <f t="shared" si="26"/>
        <v/>
      </c>
      <c r="V118" s="201">
        <v>13</v>
      </c>
      <c r="W118" s="198">
        <f t="shared" si="27"/>
        <v>27.659574468085108</v>
      </c>
      <c r="X118" s="201"/>
      <c r="Y118" s="198" t="str">
        <f t="shared" si="28"/>
        <v/>
      </c>
      <c r="Z118" s="201"/>
      <c r="AA118" s="198" t="str">
        <f t="shared" si="29"/>
        <v/>
      </c>
      <c r="AB118" s="201"/>
      <c r="AC118" s="198" t="str">
        <f t="shared" si="30"/>
        <v/>
      </c>
      <c r="AD118" s="201"/>
      <c r="AE118" s="198" t="str">
        <f t="shared" si="31"/>
        <v/>
      </c>
      <c r="AF118" s="201"/>
      <c r="AG118" s="198" t="str">
        <f t="shared" si="32"/>
        <v/>
      </c>
      <c r="AH118" s="201"/>
      <c r="AI118" s="198" t="str">
        <f t="shared" si="33"/>
        <v/>
      </c>
      <c r="AJ118" s="201">
        <v>206</v>
      </c>
      <c r="AK118" s="198">
        <f t="shared" si="34"/>
        <v>438.29787234042556</v>
      </c>
      <c r="AL118" s="201"/>
      <c r="AM118" s="198" t="str">
        <f t="shared" si="35"/>
        <v/>
      </c>
      <c r="AN118" s="201">
        <v>751</v>
      </c>
      <c r="AO118" s="198">
        <f t="shared" si="36"/>
        <v>1597.872340425532</v>
      </c>
      <c r="AP118" s="201">
        <v>52115</v>
      </c>
      <c r="AQ118" s="198">
        <f t="shared" si="37"/>
        <v>110882.97872340426</v>
      </c>
    </row>
    <row r="119" spans="1:43">
      <c r="A119" s="200"/>
      <c r="B119">
        <v>0.16</v>
      </c>
      <c r="D119" s="201">
        <v>885</v>
      </c>
      <c r="E119" s="198">
        <f t="shared" si="19"/>
        <v>5531.25</v>
      </c>
      <c r="F119" s="201">
        <v>9458</v>
      </c>
      <c r="G119" s="198">
        <f t="shared" si="19"/>
        <v>59112.5</v>
      </c>
      <c r="H119" s="201"/>
      <c r="I119" s="198" t="str">
        <f t="shared" si="20"/>
        <v/>
      </c>
      <c r="J119" s="201"/>
      <c r="K119" s="198" t="str">
        <f t="shared" si="21"/>
        <v/>
      </c>
      <c r="L119" s="201"/>
      <c r="M119" s="198" t="str">
        <f t="shared" si="22"/>
        <v/>
      </c>
      <c r="N119" s="201">
        <v>3</v>
      </c>
      <c r="O119" s="198">
        <f t="shared" si="23"/>
        <v>18.75</v>
      </c>
      <c r="P119" s="201">
        <v>130</v>
      </c>
      <c r="Q119" s="198">
        <f t="shared" si="24"/>
        <v>812.5</v>
      </c>
      <c r="R119" s="201">
        <v>2</v>
      </c>
      <c r="S119" s="198">
        <f t="shared" si="25"/>
        <v>12.5</v>
      </c>
      <c r="T119" s="201"/>
      <c r="U119" s="198" t="str">
        <f t="shared" si="26"/>
        <v/>
      </c>
      <c r="V119" s="201"/>
      <c r="W119" s="198" t="str">
        <f t="shared" si="27"/>
        <v/>
      </c>
      <c r="X119" s="201"/>
      <c r="Y119" s="198" t="str">
        <f t="shared" si="28"/>
        <v/>
      </c>
      <c r="Z119" s="201"/>
      <c r="AA119" s="198" t="str">
        <f t="shared" si="29"/>
        <v/>
      </c>
      <c r="AB119" s="201"/>
      <c r="AC119" s="198" t="str">
        <f t="shared" si="30"/>
        <v/>
      </c>
      <c r="AD119" s="201"/>
      <c r="AE119" s="198" t="str">
        <f t="shared" si="31"/>
        <v/>
      </c>
      <c r="AF119" s="201"/>
      <c r="AG119" s="198" t="str">
        <f t="shared" si="32"/>
        <v/>
      </c>
      <c r="AH119" s="201"/>
      <c r="AI119" s="198" t="str">
        <f t="shared" si="33"/>
        <v/>
      </c>
      <c r="AJ119" s="201"/>
      <c r="AK119" s="198" t="str">
        <f t="shared" si="34"/>
        <v/>
      </c>
      <c r="AL119" s="201"/>
      <c r="AM119" s="198" t="str">
        <f t="shared" si="35"/>
        <v/>
      </c>
      <c r="AN119" s="201">
        <v>106</v>
      </c>
      <c r="AO119" s="198">
        <f t="shared" si="36"/>
        <v>662.5</v>
      </c>
      <c r="AP119" s="201">
        <v>9699</v>
      </c>
      <c r="AQ119" s="198">
        <f t="shared" si="37"/>
        <v>60618.75</v>
      </c>
    </row>
    <row r="120" spans="1:43">
      <c r="A120" s="200"/>
      <c r="B120">
        <v>0.02</v>
      </c>
      <c r="D120" s="201">
        <v>78</v>
      </c>
      <c r="E120" s="198">
        <f t="shared" si="19"/>
        <v>3900</v>
      </c>
      <c r="F120" s="201"/>
      <c r="G120" s="198" t="str">
        <f t="shared" si="19"/>
        <v/>
      </c>
      <c r="H120" s="201"/>
      <c r="I120" s="198" t="str">
        <f t="shared" si="20"/>
        <v/>
      </c>
      <c r="J120" s="201"/>
      <c r="K120" s="198" t="str">
        <f t="shared" si="21"/>
        <v/>
      </c>
      <c r="L120" s="201"/>
      <c r="M120" s="198" t="str">
        <f t="shared" si="22"/>
        <v/>
      </c>
      <c r="N120" s="201"/>
      <c r="O120" s="198" t="str">
        <f t="shared" si="23"/>
        <v/>
      </c>
      <c r="P120" s="201">
        <v>60</v>
      </c>
      <c r="Q120" s="198">
        <f t="shared" si="24"/>
        <v>3000</v>
      </c>
      <c r="R120" s="201"/>
      <c r="S120" s="198" t="str">
        <f t="shared" si="25"/>
        <v/>
      </c>
      <c r="T120" s="201"/>
      <c r="U120" s="198" t="str">
        <f t="shared" si="26"/>
        <v/>
      </c>
      <c r="V120" s="201">
        <v>6</v>
      </c>
      <c r="W120" s="198">
        <f t="shared" si="27"/>
        <v>300</v>
      </c>
      <c r="X120" s="201"/>
      <c r="Y120" s="198" t="str">
        <f t="shared" si="28"/>
        <v/>
      </c>
      <c r="Z120" s="201"/>
      <c r="AA120" s="198" t="str">
        <f t="shared" si="29"/>
        <v/>
      </c>
      <c r="AB120" s="201"/>
      <c r="AC120" s="198" t="str">
        <f t="shared" si="30"/>
        <v/>
      </c>
      <c r="AD120" s="201"/>
      <c r="AE120" s="198" t="str">
        <f t="shared" si="31"/>
        <v/>
      </c>
      <c r="AF120" s="201"/>
      <c r="AG120" s="198" t="str">
        <f t="shared" si="32"/>
        <v/>
      </c>
      <c r="AH120" s="201"/>
      <c r="AI120" s="198" t="str">
        <f t="shared" si="33"/>
        <v/>
      </c>
      <c r="AJ120" s="201">
        <v>407</v>
      </c>
      <c r="AK120" s="198">
        <f t="shared" si="34"/>
        <v>20350</v>
      </c>
      <c r="AL120" s="201"/>
      <c r="AM120" s="198" t="str">
        <f t="shared" si="35"/>
        <v/>
      </c>
      <c r="AN120" s="201">
        <v>24281</v>
      </c>
      <c r="AO120" s="198">
        <f t="shared" si="36"/>
        <v>1214050</v>
      </c>
      <c r="AP120" s="201">
        <v>24754</v>
      </c>
      <c r="AQ120" s="198">
        <f t="shared" si="37"/>
        <v>1237700</v>
      </c>
    </row>
    <row r="121" spans="1:43">
      <c r="A121" s="200"/>
      <c r="B121">
        <v>7.0000000000000007E-2</v>
      </c>
      <c r="D121" s="201">
        <v>5437</v>
      </c>
      <c r="E121" s="198">
        <f t="shared" si="19"/>
        <v>77671.428571428565</v>
      </c>
      <c r="F121" s="201">
        <v>165502</v>
      </c>
      <c r="G121" s="198">
        <f t="shared" si="19"/>
        <v>2364314.2857142854</v>
      </c>
      <c r="H121" s="201"/>
      <c r="I121" s="198" t="str">
        <f t="shared" si="20"/>
        <v/>
      </c>
      <c r="J121" s="201"/>
      <c r="K121" s="198" t="str">
        <f t="shared" si="21"/>
        <v/>
      </c>
      <c r="L121" s="201"/>
      <c r="M121" s="198" t="str">
        <f t="shared" si="22"/>
        <v/>
      </c>
      <c r="N121" s="201">
        <v>15</v>
      </c>
      <c r="O121" s="198">
        <f t="shared" si="23"/>
        <v>214.28571428571428</v>
      </c>
      <c r="P121" s="201"/>
      <c r="Q121" s="198" t="str">
        <f t="shared" si="24"/>
        <v/>
      </c>
      <c r="R121" s="201">
        <v>82</v>
      </c>
      <c r="S121" s="198">
        <f t="shared" si="25"/>
        <v>1171.4285714285713</v>
      </c>
      <c r="T121" s="201"/>
      <c r="U121" s="198" t="str">
        <f t="shared" si="26"/>
        <v/>
      </c>
      <c r="V121" s="201"/>
      <c r="W121" s="198" t="str">
        <f t="shared" si="27"/>
        <v/>
      </c>
      <c r="X121" s="201"/>
      <c r="Y121" s="198" t="str">
        <f t="shared" si="28"/>
        <v/>
      </c>
      <c r="Z121" s="201"/>
      <c r="AA121" s="198" t="str">
        <f t="shared" si="29"/>
        <v/>
      </c>
      <c r="AB121" s="201"/>
      <c r="AC121" s="198" t="str">
        <f t="shared" si="30"/>
        <v/>
      </c>
      <c r="AD121" s="201"/>
      <c r="AE121" s="198" t="str">
        <f t="shared" si="31"/>
        <v/>
      </c>
      <c r="AF121" s="201"/>
      <c r="AG121" s="198" t="str">
        <f t="shared" si="32"/>
        <v/>
      </c>
      <c r="AH121" s="201"/>
      <c r="AI121" s="198" t="str">
        <f t="shared" si="33"/>
        <v/>
      </c>
      <c r="AJ121" s="201">
        <v>23</v>
      </c>
      <c r="AK121" s="198">
        <f t="shared" si="34"/>
        <v>328.57142857142856</v>
      </c>
      <c r="AL121" s="201"/>
      <c r="AM121" s="198" t="str">
        <f t="shared" si="35"/>
        <v/>
      </c>
      <c r="AN121" s="201">
        <v>1392</v>
      </c>
      <c r="AO121" s="198">
        <f t="shared" si="36"/>
        <v>19885.714285714283</v>
      </c>
      <c r="AP121" s="201">
        <v>167014</v>
      </c>
      <c r="AQ121" s="198">
        <f t="shared" si="37"/>
        <v>2385914.2857142854</v>
      </c>
    </row>
    <row r="122" spans="1:43">
      <c r="A122" s="200"/>
      <c r="B122">
        <v>3.63</v>
      </c>
      <c r="D122" s="201">
        <v>18810</v>
      </c>
      <c r="E122" s="198">
        <f t="shared" si="19"/>
        <v>5181.818181818182</v>
      </c>
      <c r="F122" s="201">
        <v>573</v>
      </c>
      <c r="G122" s="198">
        <f t="shared" si="19"/>
        <v>157.85123966942149</v>
      </c>
      <c r="H122" s="201"/>
      <c r="I122" s="198" t="str">
        <f t="shared" si="20"/>
        <v/>
      </c>
      <c r="J122" s="201"/>
      <c r="K122" s="198" t="str">
        <f t="shared" si="21"/>
        <v/>
      </c>
      <c r="L122" s="201"/>
      <c r="M122" s="198" t="str">
        <f t="shared" si="22"/>
        <v/>
      </c>
      <c r="N122" s="201">
        <v>489</v>
      </c>
      <c r="O122" s="198">
        <f t="shared" si="23"/>
        <v>134.71074380165291</v>
      </c>
      <c r="P122" s="201">
        <v>5387</v>
      </c>
      <c r="Q122" s="198">
        <f t="shared" si="24"/>
        <v>1484.0220385674932</v>
      </c>
      <c r="R122" s="201">
        <v>1347</v>
      </c>
      <c r="S122" s="198">
        <f t="shared" si="25"/>
        <v>371.07438016528926</v>
      </c>
      <c r="T122" s="201"/>
      <c r="U122" s="198" t="str">
        <f t="shared" si="26"/>
        <v/>
      </c>
      <c r="V122" s="201">
        <v>38</v>
      </c>
      <c r="W122" s="198">
        <f t="shared" si="27"/>
        <v>10.46831955922865</v>
      </c>
      <c r="X122" s="201"/>
      <c r="Y122" s="198" t="str">
        <f t="shared" si="28"/>
        <v/>
      </c>
      <c r="Z122" s="201"/>
      <c r="AA122" s="198" t="str">
        <f t="shared" si="29"/>
        <v/>
      </c>
      <c r="AB122" s="201"/>
      <c r="AC122" s="198" t="str">
        <f t="shared" si="30"/>
        <v/>
      </c>
      <c r="AD122" s="201"/>
      <c r="AE122" s="198" t="str">
        <f t="shared" si="31"/>
        <v/>
      </c>
      <c r="AF122" s="201"/>
      <c r="AG122" s="198" t="str">
        <f t="shared" si="32"/>
        <v/>
      </c>
      <c r="AH122" s="201"/>
      <c r="AI122" s="198" t="str">
        <f t="shared" si="33"/>
        <v/>
      </c>
      <c r="AJ122" s="201">
        <v>4046</v>
      </c>
      <c r="AK122" s="198">
        <f t="shared" si="34"/>
        <v>1114.6005509641873</v>
      </c>
      <c r="AL122" s="201"/>
      <c r="AM122" s="198" t="str">
        <f t="shared" si="35"/>
        <v/>
      </c>
      <c r="AN122" s="201">
        <v>3411</v>
      </c>
      <c r="AO122" s="198">
        <f t="shared" si="36"/>
        <v>939.66942148760336</v>
      </c>
      <c r="AP122" s="201">
        <v>15291</v>
      </c>
      <c r="AQ122" s="198">
        <f t="shared" si="37"/>
        <v>4212.3966942148763</v>
      </c>
    </row>
    <row r="123" spans="1:43">
      <c r="A123" s="200"/>
      <c r="B123">
        <v>4.07</v>
      </c>
      <c r="D123" s="201">
        <v>33972</v>
      </c>
      <c r="E123" s="198">
        <f t="shared" si="19"/>
        <v>8346.9287469287465</v>
      </c>
      <c r="F123" s="201">
        <v>589</v>
      </c>
      <c r="G123" s="198">
        <f t="shared" si="19"/>
        <v>144.71744471744472</v>
      </c>
      <c r="H123" s="201"/>
      <c r="I123" s="198" t="str">
        <f t="shared" si="20"/>
        <v/>
      </c>
      <c r="J123" s="201"/>
      <c r="K123" s="198" t="str">
        <f t="shared" si="21"/>
        <v/>
      </c>
      <c r="L123" s="201"/>
      <c r="M123" s="198" t="str">
        <f t="shared" si="22"/>
        <v/>
      </c>
      <c r="N123" s="201">
        <v>281</v>
      </c>
      <c r="O123" s="198">
        <f t="shared" si="23"/>
        <v>69.041769041769044</v>
      </c>
      <c r="P123" s="201">
        <v>11148</v>
      </c>
      <c r="Q123" s="198">
        <f t="shared" si="24"/>
        <v>2739.066339066339</v>
      </c>
      <c r="R123" s="201">
        <v>617</v>
      </c>
      <c r="S123" s="198">
        <f t="shared" si="25"/>
        <v>151.59705159705157</v>
      </c>
      <c r="T123" s="201"/>
      <c r="U123" s="198" t="str">
        <f t="shared" si="26"/>
        <v/>
      </c>
      <c r="V123" s="201"/>
      <c r="W123" s="198" t="str">
        <f t="shared" si="27"/>
        <v/>
      </c>
      <c r="X123" s="201"/>
      <c r="Y123" s="198" t="str">
        <f t="shared" si="28"/>
        <v/>
      </c>
      <c r="Z123" s="201"/>
      <c r="AA123" s="198" t="str">
        <f t="shared" si="29"/>
        <v/>
      </c>
      <c r="AB123" s="201"/>
      <c r="AC123" s="198" t="str">
        <f t="shared" si="30"/>
        <v/>
      </c>
      <c r="AD123" s="201"/>
      <c r="AE123" s="198" t="str">
        <f t="shared" si="31"/>
        <v/>
      </c>
      <c r="AF123" s="201"/>
      <c r="AG123" s="198" t="str">
        <f t="shared" si="32"/>
        <v/>
      </c>
      <c r="AH123" s="201"/>
      <c r="AI123" s="198" t="str">
        <f t="shared" si="33"/>
        <v/>
      </c>
      <c r="AJ123" s="201">
        <v>705</v>
      </c>
      <c r="AK123" s="198">
        <f t="shared" si="34"/>
        <v>173.21867321867322</v>
      </c>
      <c r="AL123" s="201"/>
      <c r="AM123" s="198" t="str">
        <f t="shared" si="35"/>
        <v/>
      </c>
      <c r="AN123" s="201">
        <v>9899</v>
      </c>
      <c r="AO123" s="198">
        <f t="shared" si="36"/>
        <v>2432.1867321867321</v>
      </c>
      <c r="AP123" s="201">
        <v>23239</v>
      </c>
      <c r="AQ123" s="198">
        <f t="shared" si="37"/>
        <v>5709.8280098280093</v>
      </c>
    </row>
    <row r="124" spans="1:43">
      <c r="A124" s="200"/>
      <c r="B124">
        <v>1.73</v>
      </c>
      <c r="D124" s="201">
        <v>8404</v>
      </c>
      <c r="E124" s="198">
        <f t="shared" si="19"/>
        <v>4857.8034682080925</v>
      </c>
      <c r="F124" s="201">
        <v>46</v>
      </c>
      <c r="G124" s="198">
        <f t="shared" si="19"/>
        <v>26.589595375722542</v>
      </c>
      <c r="H124" s="201"/>
      <c r="I124" s="198" t="str">
        <f t="shared" si="20"/>
        <v/>
      </c>
      <c r="J124" s="201"/>
      <c r="K124" s="198" t="str">
        <f t="shared" si="21"/>
        <v/>
      </c>
      <c r="L124" s="201"/>
      <c r="M124" s="198" t="str">
        <f t="shared" si="22"/>
        <v/>
      </c>
      <c r="N124" s="201">
        <v>194</v>
      </c>
      <c r="O124" s="198">
        <f t="shared" si="23"/>
        <v>112.13872832369943</v>
      </c>
      <c r="P124" s="201">
        <v>4075</v>
      </c>
      <c r="Q124" s="198">
        <f t="shared" si="24"/>
        <v>2355.4913294797689</v>
      </c>
      <c r="R124" s="201">
        <v>57</v>
      </c>
      <c r="S124" s="198">
        <f t="shared" si="25"/>
        <v>32.947976878612714</v>
      </c>
      <c r="T124" s="201"/>
      <c r="U124" s="198" t="str">
        <f t="shared" si="26"/>
        <v/>
      </c>
      <c r="V124" s="201">
        <v>210</v>
      </c>
      <c r="W124" s="198">
        <f t="shared" si="27"/>
        <v>121.38728323699422</v>
      </c>
      <c r="X124" s="201"/>
      <c r="Y124" s="198" t="str">
        <f t="shared" si="28"/>
        <v/>
      </c>
      <c r="Z124" s="201"/>
      <c r="AA124" s="198" t="str">
        <f t="shared" si="29"/>
        <v/>
      </c>
      <c r="AB124" s="201"/>
      <c r="AC124" s="198" t="str">
        <f t="shared" si="30"/>
        <v/>
      </c>
      <c r="AD124" s="201"/>
      <c r="AE124" s="198" t="str">
        <f t="shared" si="31"/>
        <v/>
      </c>
      <c r="AF124" s="201"/>
      <c r="AG124" s="198" t="str">
        <f t="shared" si="32"/>
        <v/>
      </c>
      <c r="AH124" s="201"/>
      <c r="AI124" s="198" t="str">
        <f t="shared" si="33"/>
        <v/>
      </c>
      <c r="AJ124" s="201">
        <v>58</v>
      </c>
      <c r="AK124" s="198">
        <f t="shared" si="34"/>
        <v>33.52601156069364</v>
      </c>
      <c r="AL124" s="201"/>
      <c r="AM124" s="198" t="str">
        <f t="shared" si="35"/>
        <v/>
      </c>
      <c r="AN124" s="201">
        <v>2172</v>
      </c>
      <c r="AO124" s="198">
        <f t="shared" si="36"/>
        <v>1255.4913294797689</v>
      </c>
      <c r="AP124" s="201">
        <v>6812</v>
      </c>
      <c r="AQ124" s="198">
        <f t="shared" si="37"/>
        <v>3937.5722543352604</v>
      </c>
    </row>
    <row r="125" spans="1:43">
      <c r="A125" s="200"/>
      <c r="B125">
        <v>1.01</v>
      </c>
      <c r="D125" s="201">
        <v>4595</v>
      </c>
      <c r="E125" s="198">
        <f t="shared" si="19"/>
        <v>4549.5049504950493</v>
      </c>
      <c r="F125" s="201"/>
      <c r="G125" s="198" t="str">
        <f t="shared" si="19"/>
        <v/>
      </c>
      <c r="H125" s="201"/>
      <c r="I125" s="198" t="str">
        <f t="shared" si="20"/>
        <v/>
      </c>
      <c r="J125" s="201"/>
      <c r="K125" s="198" t="str">
        <f t="shared" si="21"/>
        <v/>
      </c>
      <c r="L125" s="201"/>
      <c r="M125" s="198" t="str">
        <f t="shared" si="22"/>
        <v/>
      </c>
      <c r="N125" s="201">
        <v>1658</v>
      </c>
      <c r="O125" s="198">
        <f t="shared" si="23"/>
        <v>1641.5841584158416</v>
      </c>
      <c r="P125" s="201">
        <v>3845</v>
      </c>
      <c r="Q125" s="198">
        <f t="shared" si="24"/>
        <v>3806.9306930693069</v>
      </c>
      <c r="R125" s="201">
        <v>12</v>
      </c>
      <c r="S125" s="198">
        <f t="shared" si="25"/>
        <v>11.881188118811881</v>
      </c>
      <c r="T125" s="201"/>
      <c r="U125" s="198" t="str">
        <f t="shared" si="26"/>
        <v/>
      </c>
      <c r="V125" s="201"/>
      <c r="W125" s="198" t="str">
        <f t="shared" si="27"/>
        <v/>
      </c>
      <c r="X125" s="201"/>
      <c r="Y125" s="198" t="str">
        <f t="shared" si="28"/>
        <v/>
      </c>
      <c r="Z125" s="201"/>
      <c r="AA125" s="198" t="str">
        <f t="shared" si="29"/>
        <v/>
      </c>
      <c r="AB125" s="201"/>
      <c r="AC125" s="198" t="str">
        <f t="shared" si="30"/>
        <v/>
      </c>
      <c r="AD125" s="201"/>
      <c r="AE125" s="198" t="str">
        <f t="shared" si="31"/>
        <v/>
      </c>
      <c r="AF125" s="201"/>
      <c r="AG125" s="198" t="str">
        <f t="shared" si="32"/>
        <v/>
      </c>
      <c r="AH125" s="201"/>
      <c r="AI125" s="198" t="str">
        <f t="shared" si="33"/>
        <v/>
      </c>
      <c r="AJ125" s="201">
        <v>4</v>
      </c>
      <c r="AK125" s="198">
        <f t="shared" si="34"/>
        <v>3.9603960396039604</v>
      </c>
      <c r="AL125" s="201"/>
      <c r="AM125" s="198" t="str">
        <f t="shared" si="35"/>
        <v/>
      </c>
      <c r="AN125" s="201">
        <v>817</v>
      </c>
      <c r="AO125" s="198">
        <f t="shared" si="36"/>
        <v>808.91089108910887</v>
      </c>
      <c r="AP125" s="201">
        <v>6336</v>
      </c>
      <c r="AQ125" s="198">
        <f t="shared" si="37"/>
        <v>6273.2673267326736</v>
      </c>
    </row>
    <row r="126" spans="1:43">
      <c r="A126" s="200"/>
      <c r="B126">
        <v>0.36</v>
      </c>
      <c r="D126" s="201">
        <v>5738</v>
      </c>
      <c r="E126" s="198">
        <f t="shared" si="19"/>
        <v>15938.888888888889</v>
      </c>
      <c r="F126" s="201">
        <v>19</v>
      </c>
      <c r="G126" s="198">
        <f t="shared" si="19"/>
        <v>52.777777777777779</v>
      </c>
      <c r="H126" s="201"/>
      <c r="I126" s="198" t="str">
        <f t="shared" si="20"/>
        <v/>
      </c>
      <c r="J126" s="201"/>
      <c r="K126" s="198" t="str">
        <f t="shared" si="21"/>
        <v/>
      </c>
      <c r="L126" s="201"/>
      <c r="M126" s="198" t="str">
        <f t="shared" si="22"/>
        <v/>
      </c>
      <c r="N126" s="201">
        <v>79</v>
      </c>
      <c r="O126" s="198">
        <f t="shared" si="23"/>
        <v>219.44444444444446</v>
      </c>
      <c r="P126" s="201">
        <v>144</v>
      </c>
      <c r="Q126" s="198">
        <f t="shared" si="24"/>
        <v>400</v>
      </c>
      <c r="R126" s="201">
        <v>15</v>
      </c>
      <c r="S126" s="198">
        <f t="shared" si="25"/>
        <v>41.666666666666671</v>
      </c>
      <c r="T126" s="201"/>
      <c r="U126" s="198" t="str">
        <f t="shared" si="26"/>
        <v/>
      </c>
      <c r="V126" s="201"/>
      <c r="W126" s="198" t="str">
        <f t="shared" si="27"/>
        <v/>
      </c>
      <c r="X126" s="201"/>
      <c r="Y126" s="198" t="str">
        <f t="shared" si="28"/>
        <v/>
      </c>
      <c r="Z126" s="201"/>
      <c r="AA126" s="198" t="str">
        <f t="shared" si="29"/>
        <v/>
      </c>
      <c r="AB126" s="201"/>
      <c r="AC126" s="198" t="str">
        <f t="shared" si="30"/>
        <v/>
      </c>
      <c r="AD126" s="201"/>
      <c r="AE126" s="198" t="str">
        <f t="shared" si="31"/>
        <v/>
      </c>
      <c r="AF126" s="201"/>
      <c r="AG126" s="198" t="str">
        <f t="shared" si="32"/>
        <v/>
      </c>
      <c r="AH126" s="201"/>
      <c r="AI126" s="198" t="str">
        <f t="shared" si="33"/>
        <v/>
      </c>
      <c r="AJ126" s="201">
        <v>5</v>
      </c>
      <c r="AK126" s="198">
        <f t="shared" si="34"/>
        <v>13.888888888888889</v>
      </c>
      <c r="AL126" s="201"/>
      <c r="AM126" s="198" t="str">
        <f t="shared" si="35"/>
        <v/>
      </c>
      <c r="AN126" s="201">
        <v>914</v>
      </c>
      <c r="AO126" s="198">
        <f t="shared" si="36"/>
        <v>2538.8888888888891</v>
      </c>
      <c r="AP126" s="201">
        <v>1176</v>
      </c>
      <c r="AQ126" s="198">
        <f t="shared" si="37"/>
        <v>3266.666666666667</v>
      </c>
    </row>
    <row r="127" spans="1:43">
      <c r="A127" s="190" t="s">
        <v>262</v>
      </c>
      <c r="B127" s="196">
        <v>4.75</v>
      </c>
      <c r="D127" s="197">
        <v>89720</v>
      </c>
      <c r="E127" s="198">
        <f t="shared" si="19"/>
        <v>18888.42105263158</v>
      </c>
      <c r="F127" s="197"/>
      <c r="G127" s="198" t="str">
        <f t="shared" si="19"/>
        <v/>
      </c>
      <c r="H127" s="197"/>
      <c r="I127" s="198" t="str">
        <f t="shared" si="20"/>
        <v/>
      </c>
      <c r="J127" s="197">
        <v>4720</v>
      </c>
      <c r="K127" s="198">
        <f t="shared" si="21"/>
        <v>993.68421052631584</v>
      </c>
      <c r="L127" s="197"/>
      <c r="M127" s="198" t="str">
        <f t="shared" si="22"/>
        <v/>
      </c>
      <c r="N127" s="197"/>
      <c r="O127" s="198" t="str">
        <f t="shared" si="23"/>
        <v/>
      </c>
      <c r="P127" s="197">
        <v>2414</v>
      </c>
      <c r="Q127" s="198">
        <f t="shared" si="24"/>
        <v>508.21052631578948</v>
      </c>
      <c r="R127" s="197"/>
      <c r="S127" s="198" t="str">
        <f t="shared" si="25"/>
        <v/>
      </c>
      <c r="T127" s="197"/>
      <c r="U127" s="198" t="str">
        <f t="shared" si="26"/>
        <v/>
      </c>
      <c r="V127" s="197"/>
      <c r="W127" s="198" t="str">
        <f t="shared" si="27"/>
        <v/>
      </c>
      <c r="X127" s="197"/>
      <c r="Y127" s="198" t="str">
        <f t="shared" si="28"/>
        <v/>
      </c>
      <c r="Z127" s="197"/>
      <c r="AA127" s="198" t="str">
        <f t="shared" si="29"/>
        <v/>
      </c>
      <c r="AB127" s="197"/>
      <c r="AC127" s="198" t="str">
        <f t="shared" si="30"/>
        <v/>
      </c>
      <c r="AD127" s="197"/>
      <c r="AE127" s="198" t="str">
        <f t="shared" si="31"/>
        <v/>
      </c>
      <c r="AF127" s="197"/>
      <c r="AG127" s="198" t="str">
        <f t="shared" si="32"/>
        <v/>
      </c>
      <c r="AH127" s="197"/>
      <c r="AI127" s="198" t="str">
        <f t="shared" si="33"/>
        <v/>
      </c>
      <c r="AJ127" s="197">
        <v>8332</v>
      </c>
      <c r="AK127" s="198">
        <f t="shared" si="34"/>
        <v>1754.1052631578948</v>
      </c>
      <c r="AL127" s="197"/>
      <c r="AM127" s="198" t="str">
        <f t="shared" si="35"/>
        <v/>
      </c>
      <c r="AN127" s="197"/>
      <c r="AO127" s="198" t="str">
        <f t="shared" si="36"/>
        <v/>
      </c>
      <c r="AP127" s="197">
        <v>15466</v>
      </c>
      <c r="AQ127" s="198">
        <f t="shared" si="37"/>
        <v>3256</v>
      </c>
    </row>
    <row r="128" spans="1:43">
      <c r="A128" s="200"/>
      <c r="D128" s="201"/>
      <c r="E128" s="198" t="str">
        <f t="shared" si="19"/>
        <v/>
      </c>
      <c r="F128" s="201"/>
      <c r="G128" s="198" t="str">
        <f t="shared" si="19"/>
        <v/>
      </c>
      <c r="H128" s="201"/>
      <c r="I128" s="198" t="str">
        <f t="shared" si="20"/>
        <v/>
      </c>
      <c r="J128" s="201">
        <v>24678</v>
      </c>
      <c r="K128" s="198" t="str">
        <f t="shared" si="21"/>
        <v/>
      </c>
      <c r="L128" s="201"/>
      <c r="M128" s="198" t="str">
        <f t="shared" si="22"/>
        <v/>
      </c>
      <c r="N128" s="201"/>
      <c r="O128" s="198" t="str">
        <f t="shared" si="23"/>
        <v/>
      </c>
      <c r="P128" s="201"/>
      <c r="Q128" s="198" t="str">
        <f t="shared" si="24"/>
        <v/>
      </c>
      <c r="R128" s="201"/>
      <c r="S128" s="198" t="str">
        <f t="shared" si="25"/>
        <v/>
      </c>
      <c r="T128" s="201"/>
      <c r="U128" s="198" t="str">
        <f t="shared" si="26"/>
        <v/>
      </c>
      <c r="V128" s="201"/>
      <c r="W128" s="198" t="str">
        <f t="shared" si="27"/>
        <v/>
      </c>
      <c r="X128" s="201"/>
      <c r="Y128" s="198" t="str">
        <f t="shared" si="28"/>
        <v/>
      </c>
      <c r="Z128" s="201"/>
      <c r="AA128" s="198" t="str">
        <f t="shared" si="29"/>
        <v/>
      </c>
      <c r="AB128" s="201"/>
      <c r="AC128" s="198" t="str">
        <f t="shared" si="30"/>
        <v/>
      </c>
      <c r="AD128" s="201"/>
      <c r="AE128" s="198" t="str">
        <f t="shared" si="31"/>
        <v/>
      </c>
      <c r="AF128" s="201"/>
      <c r="AG128" s="198" t="str">
        <f t="shared" si="32"/>
        <v/>
      </c>
      <c r="AH128" s="201"/>
      <c r="AI128" s="198" t="str">
        <f t="shared" si="33"/>
        <v/>
      </c>
      <c r="AJ128" s="201"/>
      <c r="AK128" s="198" t="str">
        <f t="shared" si="34"/>
        <v/>
      </c>
      <c r="AL128" s="201"/>
      <c r="AM128" s="198" t="str">
        <f t="shared" si="35"/>
        <v/>
      </c>
      <c r="AN128" s="201"/>
      <c r="AO128" s="198" t="str">
        <f t="shared" si="36"/>
        <v/>
      </c>
      <c r="AP128" s="201">
        <v>24678</v>
      </c>
      <c r="AQ128" s="198" t="str">
        <f t="shared" si="37"/>
        <v/>
      </c>
    </row>
    <row r="129" spans="1:43">
      <c r="A129" s="200"/>
      <c r="B129">
        <v>0.19</v>
      </c>
      <c r="D129" s="201"/>
      <c r="E129" s="198" t="str">
        <f t="shared" si="19"/>
        <v/>
      </c>
      <c r="F129" s="201"/>
      <c r="G129" s="198" t="str">
        <f t="shared" si="19"/>
        <v/>
      </c>
      <c r="H129" s="201"/>
      <c r="I129" s="198" t="str">
        <f t="shared" si="20"/>
        <v/>
      </c>
      <c r="J129" s="201"/>
      <c r="K129" s="198" t="str">
        <f t="shared" si="21"/>
        <v/>
      </c>
      <c r="L129" s="201"/>
      <c r="M129" s="198" t="str">
        <f t="shared" si="22"/>
        <v/>
      </c>
      <c r="N129" s="201"/>
      <c r="O129" s="198" t="str">
        <f t="shared" si="23"/>
        <v/>
      </c>
      <c r="P129" s="201">
        <v>66</v>
      </c>
      <c r="Q129" s="198">
        <f t="shared" si="24"/>
        <v>347.36842105263156</v>
      </c>
      <c r="R129" s="201"/>
      <c r="S129" s="198" t="str">
        <f t="shared" si="25"/>
        <v/>
      </c>
      <c r="T129" s="201"/>
      <c r="U129" s="198" t="str">
        <f t="shared" si="26"/>
        <v/>
      </c>
      <c r="V129" s="201"/>
      <c r="W129" s="198" t="str">
        <f t="shared" si="27"/>
        <v/>
      </c>
      <c r="X129" s="201"/>
      <c r="Y129" s="198" t="str">
        <f t="shared" si="28"/>
        <v/>
      </c>
      <c r="Z129" s="201"/>
      <c r="AA129" s="198" t="str">
        <f t="shared" si="29"/>
        <v/>
      </c>
      <c r="AB129" s="201"/>
      <c r="AC129" s="198" t="str">
        <f t="shared" si="30"/>
        <v/>
      </c>
      <c r="AD129" s="201"/>
      <c r="AE129" s="198" t="str">
        <f t="shared" si="31"/>
        <v/>
      </c>
      <c r="AF129" s="201"/>
      <c r="AG129" s="198" t="str">
        <f t="shared" si="32"/>
        <v/>
      </c>
      <c r="AH129" s="201"/>
      <c r="AI129" s="198" t="str">
        <f t="shared" si="33"/>
        <v/>
      </c>
      <c r="AJ129" s="201"/>
      <c r="AK129" s="198" t="str">
        <f t="shared" si="34"/>
        <v/>
      </c>
      <c r="AL129" s="201"/>
      <c r="AM129" s="198" t="str">
        <f t="shared" si="35"/>
        <v/>
      </c>
      <c r="AN129" s="201"/>
      <c r="AO129" s="198" t="str">
        <f t="shared" si="36"/>
        <v/>
      </c>
      <c r="AP129" s="201">
        <v>66</v>
      </c>
      <c r="AQ129" s="198">
        <f t="shared" si="37"/>
        <v>347.36842105263156</v>
      </c>
    </row>
    <row r="130" spans="1:43">
      <c r="A130" s="200"/>
      <c r="B130">
        <v>0.19</v>
      </c>
      <c r="D130" s="201"/>
      <c r="E130" s="198" t="str">
        <f t="shared" si="19"/>
        <v/>
      </c>
      <c r="F130" s="201"/>
      <c r="G130" s="198" t="str">
        <f t="shared" si="19"/>
        <v/>
      </c>
      <c r="H130" s="201"/>
      <c r="I130" s="198" t="str">
        <f t="shared" si="20"/>
        <v/>
      </c>
      <c r="J130" s="201"/>
      <c r="K130" s="198" t="str">
        <f t="shared" si="21"/>
        <v/>
      </c>
      <c r="L130" s="201"/>
      <c r="M130" s="198" t="str">
        <f t="shared" si="22"/>
        <v/>
      </c>
      <c r="N130" s="201"/>
      <c r="O130" s="198" t="str">
        <f t="shared" si="23"/>
        <v/>
      </c>
      <c r="P130" s="201">
        <v>66</v>
      </c>
      <c r="Q130" s="198">
        <f t="shared" si="24"/>
        <v>347.36842105263156</v>
      </c>
      <c r="R130" s="201"/>
      <c r="S130" s="198" t="str">
        <f t="shared" si="25"/>
        <v/>
      </c>
      <c r="T130" s="201"/>
      <c r="U130" s="198" t="str">
        <f t="shared" si="26"/>
        <v/>
      </c>
      <c r="V130" s="201"/>
      <c r="W130" s="198" t="str">
        <f t="shared" si="27"/>
        <v/>
      </c>
      <c r="X130" s="201"/>
      <c r="Y130" s="198" t="str">
        <f t="shared" si="28"/>
        <v/>
      </c>
      <c r="Z130" s="201"/>
      <c r="AA130" s="198" t="str">
        <f t="shared" si="29"/>
        <v/>
      </c>
      <c r="AB130" s="201"/>
      <c r="AC130" s="198" t="str">
        <f t="shared" si="30"/>
        <v/>
      </c>
      <c r="AD130" s="201"/>
      <c r="AE130" s="198" t="str">
        <f t="shared" si="31"/>
        <v/>
      </c>
      <c r="AF130" s="201"/>
      <c r="AG130" s="198" t="str">
        <f t="shared" si="32"/>
        <v/>
      </c>
      <c r="AH130" s="201"/>
      <c r="AI130" s="198" t="str">
        <f t="shared" si="33"/>
        <v/>
      </c>
      <c r="AJ130" s="201"/>
      <c r="AK130" s="198" t="str">
        <f t="shared" si="34"/>
        <v/>
      </c>
      <c r="AL130" s="201"/>
      <c r="AM130" s="198" t="str">
        <f t="shared" si="35"/>
        <v/>
      </c>
      <c r="AN130" s="201"/>
      <c r="AO130" s="198" t="str">
        <f t="shared" si="36"/>
        <v/>
      </c>
      <c r="AP130" s="201">
        <v>66</v>
      </c>
      <c r="AQ130" s="198">
        <f t="shared" si="37"/>
        <v>347.36842105263156</v>
      </c>
    </row>
    <row r="131" spans="1:43">
      <c r="A131" s="200"/>
      <c r="D131" s="201"/>
      <c r="E131" s="198" t="str">
        <f t="shared" si="19"/>
        <v/>
      </c>
      <c r="F131" s="201"/>
      <c r="G131" s="198" t="str">
        <f t="shared" si="19"/>
        <v/>
      </c>
      <c r="H131" s="201"/>
      <c r="I131" s="198" t="str">
        <f t="shared" si="20"/>
        <v/>
      </c>
      <c r="J131" s="201"/>
      <c r="K131" s="198" t="str">
        <f t="shared" si="21"/>
        <v/>
      </c>
      <c r="L131" s="201"/>
      <c r="M131" s="198" t="str">
        <f t="shared" si="22"/>
        <v/>
      </c>
      <c r="N131" s="201"/>
      <c r="O131" s="198" t="str">
        <f t="shared" si="23"/>
        <v/>
      </c>
      <c r="P131" s="201"/>
      <c r="Q131" s="198" t="str">
        <f t="shared" si="24"/>
        <v/>
      </c>
      <c r="R131" s="201"/>
      <c r="S131" s="198" t="str">
        <f t="shared" si="25"/>
        <v/>
      </c>
      <c r="T131" s="201"/>
      <c r="U131" s="198" t="str">
        <f t="shared" si="26"/>
        <v/>
      </c>
      <c r="V131" s="201"/>
      <c r="W131" s="198" t="str">
        <f t="shared" si="27"/>
        <v/>
      </c>
      <c r="X131" s="201"/>
      <c r="Y131" s="198" t="str">
        <f t="shared" si="28"/>
        <v/>
      </c>
      <c r="Z131" s="201"/>
      <c r="AA131" s="198" t="str">
        <f t="shared" si="29"/>
        <v/>
      </c>
      <c r="AB131" s="201"/>
      <c r="AC131" s="198" t="str">
        <f t="shared" si="30"/>
        <v/>
      </c>
      <c r="AD131" s="201"/>
      <c r="AE131" s="198" t="str">
        <f t="shared" si="31"/>
        <v/>
      </c>
      <c r="AF131" s="201"/>
      <c r="AG131" s="198" t="str">
        <f t="shared" si="32"/>
        <v/>
      </c>
      <c r="AH131" s="201"/>
      <c r="AI131" s="198" t="str">
        <f t="shared" si="33"/>
        <v/>
      </c>
      <c r="AJ131" s="201"/>
      <c r="AK131" s="198" t="str">
        <f t="shared" si="34"/>
        <v/>
      </c>
      <c r="AL131" s="201"/>
      <c r="AM131" s="198" t="str">
        <f t="shared" si="35"/>
        <v/>
      </c>
      <c r="AN131" s="201"/>
      <c r="AO131" s="198" t="str">
        <f t="shared" si="36"/>
        <v/>
      </c>
      <c r="AP131" s="201"/>
      <c r="AQ131" s="198" t="str">
        <f t="shared" si="37"/>
        <v/>
      </c>
    </row>
    <row r="132" spans="1:43">
      <c r="A132" s="200"/>
      <c r="B132">
        <v>0.02</v>
      </c>
      <c r="D132" s="201"/>
      <c r="E132" s="198" t="str">
        <f t="shared" si="19"/>
        <v/>
      </c>
      <c r="F132" s="201"/>
      <c r="G132" s="198" t="str">
        <f t="shared" si="19"/>
        <v/>
      </c>
      <c r="H132" s="201"/>
      <c r="I132" s="198" t="str">
        <f t="shared" si="20"/>
        <v/>
      </c>
      <c r="J132" s="201">
        <v>524</v>
      </c>
      <c r="K132" s="198">
        <f t="shared" si="21"/>
        <v>26200</v>
      </c>
      <c r="L132" s="201"/>
      <c r="M132" s="198" t="str">
        <f t="shared" si="22"/>
        <v/>
      </c>
      <c r="N132" s="201"/>
      <c r="O132" s="198" t="str">
        <f t="shared" si="23"/>
        <v/>
      </c>
      <c r="P132" s="201"/>
      <c r="Q132" s="198" t="str">
        <f t="shared" si="24"/>
        <v/>
      </c>
      <c r="R132" s="201"/>
      <c r="S132" s="198" t="str">
        <f t="shared" si="25"/>
        <v/>
      </c>
      <c r="T132" s="201"/>
      <c r="U132" s="198" t="str">
        <f t="shared" si="26"/>
        <v/>
      </c>
      <c r="V132" s="201"/>
      <c r="W132" s="198" t="str">
        <f t="shared" si="27"/>
        <v/>
      </c>
      <c r="X132" s="201"/>
      <c r="Y132" s="198" t="str">
        <f t="shared" si="28"/>
        <v/>
      </c>
      <c r="Z132" s="201"/>
      <c r="AA132" s="198" t="str">
        <f t="shared" si="29"/>
        <v/>
      </c>
      <c r="AB132" s="201"/>
      <c r="AC132" s="198" t="str">
        <f t="shared" si="30"/>
        <v/>
      </c>
      <c r="AD132" s="201"/>
      <c r="AE132" s="198" t="str">
        <f t="shared" si="31"/>
        <v/>
      </c>
      <c r="AF132" s="201"/>
      <c r="AG132" s="198" t="str">
        <f t="shared" si="32"/>
        <v/>
      </c>
      <c r="AH132" s="201"/>
      <c r="AI132" s="198" t="str">
        <f t="shared" si="33"/>
        <v/>
      </c>
      <c r="AJ132" s="201"/>
      <c r="AK132" s="198" t="str">
        <f t="shared" si="34"/>
        <v/>
      </c>
      <c r="AL132" s="201"/>
      <c r="AM132" s="198" t="str">
        <f t="shared" si="35"/>
        <v/>
      </c>
      <c r="AN132" s="201"/>
      <c r="AO132" s="198" t="str">
        <f t="shared" si="36"/>
        <v/>
      </c>
      <c r="AP132" s="201">
        <v>524</v>
      </c>
      <c r="AQ132" s="198">
        <f t="shared" si="37"/>
        <v>26200</v>
      </c>
    </row>
    <row r="133" spans="1:43">
      <c r="A133" s="200"/>
      <c r="B133">
        <v>1.47</v>
      </c>
      <c r="D133" s="201"/>
      <c r="E133" s="198" t="str">
        <f t="shared" si="19"/>
        <v/>
      </c>
      <c r="F133" s="201"/>
      <c r="G133" s="198" t="str">
        <f t="shared" si="19"/>
        <v/>
      </c>
      <c r="H133" s="201"/>
      <c r="I133" s="198" t="str">
        <f t="shared" si="20"/>
        <v/>
      </c>
      <c r="J133" s="201"/>
      <c r="K133" s="198" t="str">
        <f t="shared" si="21"/>
        <v/>
      </c>
      <c r="L133" s="201"/>
      <c r="M133" s="198" t="str">
        <f t="shared" si="22"/>
        <v/>
      </c>
      <c r="N133" s="201"/>
      <c r="O133" s="198" t="str">
        <f t="shared" si="23"/>
        <v/>
      </c>
      <c r="P133" s="201">
        <v>853</v>
      </c>
      <c r="Q133" s="198">
        <f t="shared" si="24"/>
        <v>580.27210884353747</v>
      </c>
      <c r="R133" s="201"/>
      <c r="S133" s="198" t="str">
        <f t="shared" si="25"/>
        <v/>
      </c>
      <c r="T133" s="201"/>
      <c r="U133" s="198" t="str">
        <f t="shared" si="26"/>
        <v/>
      </c>
      <c r="V133" s="201"/>
      <c r="W133" s="198" t="str">
        <f t="shared" si="27"/>
        <v/>
      </c>
      <c r="X133" s="201"/>
      <c r="Y133" s="198" t="str">
        <f t="shared" si="28"/>
        <v/>
      </c>
      <c r="Z133" s="201"/>
      <c r="AA133" s="198" t="str">
        <f t="shared" si="29"/>
        <v/>
      </c>
      <c r="AB133" s="201"/>
      <c r="AC133" s="198" t="str">
        <f t="shared" si="30"/>
        <v/>
      </c>
      <c r="AD133" s="201"/>
      <c r="AE133" s="198" t="str">
        <f t="shared" si="31"/>
        <v/>
      </c>
      <c r="AF133" s="201"/>
      <c r="AG133" s="198" t="str">
        <f t="shared" si="32"/>
        <v/>
      </c>
      <c r="AH133" s="201"/>
      <c r="AI133" s="198" t="str">
        <f t="shared" si="33"/>
        <v/>
      </c>
      <c r="AJ133" s="201"/>
      <c r="AK133" s="198" t="str">
        <f t="shared" si="34"/>
        <v/>
      </c>
      <c r="AL133" s="201"/>
      <c r="AM133" s="198" t="str">
        <f t="shared" si="35"/>
        <v/>
      </c>
      <c r="AN133" s="201"/>
      <c r="AO133" s="198" t="str">
        <f t="shared" si="36"/>
        <v/>
      </c>
      <c r="AP133" s="201">
        <v>853</v>
      </c>
      <c r="AQ133" s="198">
        <f t="shared" si="37"/>
        <v>580.27210884353747</v>
      </c>
    </row>
    <row r="134" spans="1:43">
      <c r="A134" s="190" t="s">
        <v>263</v>
      </c>
      <c r="B134" s="196">
        <v>2.6617704840393599</v>
      </c>
      <c r="D134" s="197">
        <v>342.45679999999999</v>
      </c>
      <c r="E134" s="198">
        <f t="shared" si="19"/>
        <v>128.65752402525177</v>
      </c>
      <c r="F134" s="197">
        <v>67.087599999999995</v>
      </c>
      <c r="G134" s="198">
        <f t="shared" si="19"/>
        <v>25.204126502369</v>
      </c>
      <c r="H134" s="197"/>
      <c r="I134" s="198" t="str">
        <f t="shared" si="20"/>
        <v/>
      </c>
      <c r="J134" s="197"/>
      <c r="K134" s="198" t="str">
        <f t="shared" si="21"/>
        <v/>
      </c>
      <c r="L134" s="197"/>
      <c r="M134" s="198" t="str">
        <f t="shared" si="22"/>
        <v/>
      </c>
      <c r="N134" s="197"/>
      <c r="O134" s="198" t="str">
        <f t="shared" si="23"/>
        <v/>
      </c>
      <c r="P134" s="197">
        <v>20.184000000000001</v>
      </c>
      <c r="Q134" s="198">
        <f t="shared" si="24"/>
        <v>7.5829227655157734</v>
      </c>
      <c r="R134" s="197">
        <v>18.351800000000001</v>
      </c>
      <c r="S134" s="198">
        <f t="shared" si="25"/>
        <v>6.8945839282695385</v>
      </c>
      <c r="T134" s="197"/>
      <c r="U134" s="198" t="str">
        <f t="shared" si="26"/>
        <v/>
      </c>
      <c r="V134" s="197">
        <v>29.8978</v>
      </c>
      <c r="W134" s="198">
        <f t="shared" si="27"/>
        <v>11.232298268868286</v>
      </c>
      <c r="X134" s="197"/>
      <c r="Y134" s="198" t="str">
        <f t="shared" si="28"/>
        <v/>
      </c>
      <c r="Z134" s="197"/>
      <c r="AA134" s="198" t="str">
        <f t="shared" si="29"/>
        <v/>
      </c>
      <c r="AB134" s="197"/>
      <c r="AC134" s="198" t="str">
        <f t="shared" si="30"/>
        <v/>
      </c>
      <c r="AD134" s="197"/>
      <c r="AE134" s="198" t="str">
        <f t="shared" si="31"/>
        <v/>
      </c>
      <c r="AF134" s="197"/>
      <c r="AG134" s="198" t="str">
        <f t="shared" si="32"/>
        <v/>
      </c>
      <c r="AH134" s="197"/>
      <c r="AI134" s="198" t="str">
        <f t="shared" si="33"/>
        <v/>
      </c>
      <c r="AJ134" s="197">
        <v>148.30619999999999</v>
      </c>
      <c r="AK134" s="198">
        <f t="shared" si="34"/>
        <v>55.717125458141858</v>
      </c>
      <c r="AL134" s="197"/>
      <c r="AM134" s="198" t="str">
        <f t="shared" si="35"/>
        <v/>
      </c>
      <c r="AN134" s="197"/>
      <c r="AO134" s="198" t="str">
        <f t="shared" si="36"/>
        <v/>
      </c>
      <c r="AP134" s="197">
        <v>283.8272</v>
      </c>
      <c r="AQ134" s="198">
        <f t="shared" si="37"/>
        <v>106.63098178520602</v>
      </c>
    </row>
    <row r="135" spans="1:43">
      <c r="A135" s="200"/>
      <c r="B135">
        <v>0.23699600253837</v>
      </c>
      <c r="D135" s="201">
        <v>30.7683</v>
      </c>
      <c r="E135" s="198">
        <f t="shared" si="19"/>
        <v>129.82624040259316</v>
      </c>
      <c r="F135" s="201">
        <v>6.0274999999999999</v>
      </c>
      <c r="G135" s="198">
        <f t="shared" si="19"/>
        <v>25.432918426647888</v>
      </c>
      <c r="H135" s="201"/>
      <c r="I135" s="198" t="str">
        <f t="shared" si="20"/>
        <v/>
      </c>
      <c r="J135" s="201"/>
      <c r="K135" s="198" t="str">
        <f t="shared" si="21"/>
        <v/>
      </c>
      <c r="L135" s="201"/>
      <c r="M135" s="198" t="str">
        <f t="shared" si="22"/>
        <v/>
      </c>
      <c r="N135" s="201"/>
      <c r="O135" s="198" t="str">
        <f t="shared" si="23"/>
        <v/>
      </c>
      <c r="P135" s="201">
        <v>1.8133999999999999</v>
      </c>
      <c r="Q135" s="198">
        <f t="shared" si="24"/>
        <v>7.6516058523240611</v>
      </c>
      <c r="R135" s="201">
        <v>1.6488</v>
      </c>
      <c r="S135" s="198">
        <f t="shared" si="25"/>
        <v>6.957079369864295</v>
      </c>
      <c r="T135" s="201"/>
      <c r="U135" s="198" t="str">
        <f t="shared" si="26"/>
        <v/>
      </c>
      <c r="V135" s="201">
        <v>2.6861999999999999</v>
      </c>
      <c r="W135" s="198">
        <f t="shared" si="27"/>
        <v>11.334368391150818</v>
      </c>
      <c r="X135" s="201"/>
      <c r="Y135" s="198" t="str">
        <f t="shared" si="28"/>
        <v/>
      </c>
      <c r="Z135" s="201"/>
      <c r="AA135" s="198" t="str">
        <f t="shared" si="29"/>
        <v/>
      </c>
      <c r="AB135" s="201"/>
      <c r="AC135" s="198" t="str">
        <f t="shared" si="30"/>
        <v/>
      </c>
      <c r="AD135" s="201"/>
      <c r="AE135" s="198" t="str">
        <f t="shared" si="31"/>
        <v/>
      </c>
      <c r="AF135" s="201"/>
      <c r="AG135" s="198" t="str">
        <f t="shared" si="32"/>
        <v/>
      </c>
      <c r="AH135" s="201"/>
      <c r="AI135" s="198" t="str">
        <f t="shared" si="33"/>
        <v/>
      </c>
      <c r="AJ135" s="201">
        <v>13.3247</v>
      </c>
      <c r="AK135" s="198">
        <f t="shared" si="34"/>
        <v>56.223311183667377</v>
      </c>
      <c r="AL135" s="201"/>
      <c r="AM135" s="198" t="str">
        <f t="shared" si="35"/>
        <v/>
      </c>
      <c r="AN135" s="201"/>
      <c r="AO135" s="198" t="str">
        <f t="shared" si="36"/>
        <v/>
      </c>
      <c r="AP135" s="201">
        <v>25.500599999999999</v>
      </c>
      <c r="AQ135" s="198">
        <f t="shared" si="37"/>
        <v>107.59928322365444</v>
      </c>
    </row>
    <row r="136" spans="1:43">
      <c r="A136" s="200"/>
      <c r="B136">
        <v>0.02</v>
      </c>
      <c r="D136" s="201">
        <v>1359</v>
      </c>
      <c r="E136" s="198">
        <f t="shared" si="19"/>
        <v>67950</v>
      </c>
      <c r="F136" s="201">
        <v>6600</v>
      </c>
      <c r="G136" s="198">
        <f t="shared" si="19"/>
        <v>330000</v>
      </c>
      <c r="H136" s="201"/>
      <c r="I136" s="198" t="str">
        <f t="shared" si="20"/>
        <v/>
      </c>
      <c r="J136" s="201"/>
      <c r="K136" s="198" t="str">
        <f t="shared" si="21"/>
        <v/>
      </c>
      <c r="L136" s="201"/>
      <c r="M136" s="198" t="str">
        <f t="shared" si="22"/>
        <v/>
      </c>
      <c r="N136" s="201"/>
      <c r="O136" s="198" t="str">
        <f t="shared" si="23"/>
        <v/>
      </c>
      <c r="P136" s="201">
        <v>93</v>
      </c>
      <c r="Q136" s="198">
        <f t="shared" si="24"/>
        <v>4650</v>
      </c>
      <c r="R136" s="201"/>
      <c r="S136" s="198" t="str">
        <f t="shared" si="25"/>
        <v/>
      </c>
      <c r="T136" s="201"/>
      <c r="U136" s="198" t="str">
        <f t="shared" si="26"/>
        <v/>
      </c>
      <c r="V136" s="201"/>
      <c r="W136" s="198" t="str">
        <f t="shared" si="27"/>
        <v/>
      </c>
      <c r="X136" s="201"/>
      <c r="Y136" s="198" t="str">
        <f t="shared" si="28"/>
        <v/>
      </c>
      <c r="Z136" s="201"/>
      <c r="AA136" s="198" t="str">
        <f t="shared" si="29"/>
        <v/>
      </c>
      <c r="AB136" s="201"/>
      <c r="AC136" s="198" t="str">
        <f t="shared" si="30"/>
        <v/>
      </c>
      <c r="AD136" s="201"/>
      <c r="AE136" s="198" t="str">
        <f t="shared" si="31"/>
        <v/>
      </c>
      <c r="AF136" s="201"/>
      <c r="AG136" s="198" t="str">
        <f t="shared" si="32"/>
        <v/>
      </c>
      <c r="AH136" s="201"/>
      <c r="AI136" s="198" t="str">
        <f t="shared" si="33"/>
        <v/>
      </c>
      <c r="AJ136" s="201">
        <v>3282</v>
      </c>
      <c r="AK136" s="198">
        <f t="shared" si="34"/>
        <v>164100</v>
      </c>
      <c r="AL136" s="201"/>
      <c r="AM136" s="198" t="str">
        <f t="shared" si="35"/>
        <v/>
      </c>
      <c r="AN136" s="201"/>
      <c r="AO136" s="198" t="str">
        <f t="shared" si="36"/>
        <v/>
      </c>
      <c r="AP136" s="201">
        <v>9975</v>
      </c>
      <c r="AQ136" s="198">
        <f t="shared" si="37"/>
        <v>498750</v>
      </c>
    </row>
    <row r="137" spans="1:43">
      <c r="A137" s="200"/>
      <c r="D137" s="201"/>
      <c r="E137" s="198" t="str">
        <f t="shared" si="19"/>
        <v/>
      </c>
      <c r="F137" s="201">
        <v>18792</v>
      </c>
      <c r="G137" s="198" t="str">
        <f t="shared" si="19"/>
        <v/>
      </c>
      <c r="H137" s="201"/>
      <c r="I137" s="198" t="str">
        <f t="shared" si="20"/>
        <v/>
      </c>
      <c r="J137" s="201"/>
      <c r="K137" s="198" t="str">
        <f t="shared" si="21"/>
        <v/>
      </c>
      <c r="L137" s="201"/>
      <c r="M137" s="198" t="str">
        <f t="shared" si="22"/>
        <v/>
      </c>
      <c r="N137" s="201"/>
      <c r="O137" s="198" t="str">
        <f t="shared" si="23"/>
        <v/>
      </c>
      <c r="P137" s="201"/>
      <c r="Q137" s="198" t="str">
        <f t="shared" si="24"/>
        <v/>
      </c>
      <c r="R137" s="201"/>
      <c r="S137" s="198" t="str">
        <f t="shared" si="25"/>
        <v/>
      </c>
      <c r="T137" s="201"/>
      <c r="U137" s="198" t="str">
        <f t="shared" si="26"/>
        <v/>
      </c>
      <c r="V137" s="201"/>
      <c r="W137" s="198" t="str">
        <f t="shared" si="27"/>
        <v/>
      </c>
      <c r="X137" s="201"/>
      <c r="Y137" s="198" t="str">
        <f t="shared" si="28"/>
        <v/>
      </c>
      <c r="Z137" s="201"/>
      <c r="AA137" s="198" t="str">
        <f t="shared" si="29"/>
        <v/>
      </c>
      <c r="AB137" s="201"/>
      <c r="AC137" s="198" t="str">
        <f t="shared" si="30"/>
        <v/>
      </c>
      <c r="AD137" s="201"/>
      <c r="AE137" s="198" t="str">
        <f t="shared" si="31"/>
        <v/>
      </c>
      <c r="AF137" s="201"/>
      <c r="AG137" s="198" t="str">
        <f t="shared" si="32"/>
        <v/>
      </c>
      <c r="AH137" s="201"/>
      <c r="AI137" s="198" t="str">
        <f t="shared" si="33"/>
        <v/>
      </c>
      <c r="AJ137" s="201"/>
      <c r="AK137" s="198" t="str">
        <f t="shared" si="34"/>
        <v/>
      </c>
      <c r="AL137" s="201"/>
      <c r="AM137" s="198" t="str">
        <f t="shared" si="35"/>
        <v/>
      </c>
      <c r="AN137" s="201"/>
      <c r="AO137" s="198" t="str">
        <f t="shared" si="36"/>
        <v/>
      </c>
      <c r="AP137" s="201">
        <v>18792</v>
      </c>
      <c r="AQ137" s="198" t="str">
        <f t="shared" si="37"/>
        <v/>
      </c>
    </row>
    <row r="138" spans="1:43">
      <c r="A138" s="200"/>
      <c r="B138">
        <v>0.63</v>
      </c>
      <c r="D138" s="201"/>
      <c r="E138" s="198" t="str">
        <f t="shared" si="19"/>
        <v/>
      </c>
      <c r="F138" s="201"/>
      <c r="G138" s="198" t="str">
        <f t="shared" si="19"/>
        <v/>
      </c>
      <c r="H138" s="201"/>
      <c r="I138" s="198" t="str">
        <f t="shared" si="20"/>
        <v/>
      </c>
      <c r="J138" s="201"/>
      <c r="K138" s="198" t="str">
        <f t="shared" si="21"/>
        <v/>
      </c>
      <c r="L138" s="201"/>
      <c r="M138" s="198" t="str">
        <f t="shared" si="22"/>
        <v/>
      </c>
      <c r="N138" s="201"/>
      <c r="O138" s="198" t="str">
        <f t="shared" si="23"/>
        <v/>
      </c>
      <c r="P138" s="201"/>
      <c r="Q138" s="198" t="str">
        <f t="shared" si="24"/>
        <v/>
      </c>
      <c r="R138" s="201"/>
      <c r="S138" s="198" t="str">
        <f t="shared" si="25"/>
        <v/>
      </c>
      <c r="T138" s="201"/>
      <c r="U138" s="198" t="str">
        <f t="shared" si="26"/>
        <v/>
      </c>
      <c r="V138" s="201">
        <v>513</v>
      </c>
      <c r="W138" s="198">
        <f t="shared" si="27"/>
        <v>814.28571428571433</v>
      </c>
      <c r="X138" s="201"/>
      <c r="Y138" s="198" t="str">
        <f t="shared" si="28"/>
        <v/>
      </c>
      <c r="Z138" s="201"/>
      <c r="AA138" s="198" t="str">
        <f t="shared" si="29"/>
        <v/>
      </c>
      <c r="AB138" s="201"/>
      <c r="AC138" s="198" t="str">
        <f t="shared" si="30"/>
        <v/>
      </c>
      <c r="AD138" s="201"/>
      <c r="AE138" s="198" t="str">
        <f t="shared" si="31"/>
        <v/>
      </c>
      <c r="AF138" s="201"/>
      <c r="AG138" s="198" t="str">
        <f t="shared" si="32"/>
        <v/>
      </c>
      <c r="AH138" s="201"/>
      <c r="AI138" s="198" t="str">
        <f t="shared" si="33"/>
        <v/>
      </c>
      <c r="AJ138" s="201"/>
      <c r="AK138" s="198" t="str">
        <f t="shared" si="34"/>
        <v/>
      </c>
      <c r="AL138" s="201"/>
      <c r="AM138" s="198" t="str">
        <f t="shared" si="35"/>
        <v/>
      </c>
      <c r="AN138" s="201"/>
      <c r="AO138" s="198" t="str">
        <f t="shared" si="36"/>
        <v/>
      </c>
      <c r="AP138" s="201">
        <v>513</v>
      </c>
      <c r="AQ138" s="198">
        <f t="shared" si="37"/>
        <v>814.28571428571433</v>
      </c>
    </row>
    <row r="139" spans="1:43">
      <c r="A139" s="190" t="s">
        <v>264</v>
      </c>
      <c r="B139" s="196">
        <v>8.85</v>
      </c>
      <c r="D139" s="197">
        <v>47480</v>
      </c>
      <c r="E139" s="198">
        <f t="shared" si="19"/>
        <v>5364.9717514124295</v>
      </c>
      <c r="F139" s="197"/>
      <c r="G139" s="198" t="str">
        <f t="shared" si="19"/>
        <v/>
      </c>
      <c r="H139" s="197"/>
      <c r="I139" s="198" t="str">
        <f t="shared" si="20"/>
        <v/>
      </c>
      <c r="J139" s="197"/>
      <c r="K139" s="198" t="str">
        <f t="shared" si="21"/>
        <v/>
      </c>
      <c r="L139" s="197"/>
      <c r="M139" s="198" t="str">
        <f t="shared" si="22"/>
        <v/>
      </c>
      <c r="N139" s="197">
        <v>6731</v>
      </c>
      <c r="O139" s="198">
        <f t="shared" si="23"/>
        <v>760.56497175141249</v>
      </c>
      <c r="P139" s="197">
        <v>2177</v>
      </c>
      <c r="Q139" s="198">
        <f t="shared" si="24"/>
        <v>245.98870056497177</v>
      </c>
      <c r="R139" s="197">
        <v>3735</v>
      </c>
      <c r="S139" s="198">
        <f t="shared" si="25"/>
        <v>422.03389830508479</v>
      </c>
      <c r="T139" s="197">
        <v>6622</v>
      </c>
      <c r="U139" s="198">
        <f t="shared" si="26"/>
        <v>748.24858757062145</v>
      </c>
      <c r="V139" s="197">
        <v>8150</v>
      </c>
      <c r="W139" s="198">
        <f t="shared" si="27"/>
        <v>920.90395480225993</v>
      </c>
      <c r="X139" s="197">
        <v>12061</v>
      </c>
      <c r="Y139" s="198">
        <f t="shared" si="28"/>
        <v>1362.8248587570622</v>
      </c>
      <c r="Z139" s="197"/>
      <c r="AA139" s="198" t="str">
        <f t="shared" si="29"/>
        <v/>
      </c>
      <c r="AB139" s="197"/>
      <c r="AC139" s="198" t="str">
        <f t="shared" si="30"/>
        <v/>
      </c>
      <c r="AD139" s="197"/>
      <c r="AE139" s="198" t="str">
        <f t="shared" si="31"/>
        <v/>
      </c>
      <c r="AF139" s="197"/>
      <c r="AG139" s="198" t="str">
        <f t="shared" si="32"/>
        <v/>
      </c>
      <c r="AH139" s="197"/>
      <c r="AI139" s="198" t="str">
        <f t="shared" si="33"/>
        <v/>
      </c>
      <c r="AJ139" s="197">
        <v>22640</v>
      </c>
      <c r="AK139" s="198">
        <f t="shared" si="34"/>
        <v>2558.1920903954801</v>
      </c>
      <c r="AL139" s="197"/>
      <c r="AM139" s="198" t="str">
        <f t="shared" si="35"/>
        <v/>
      </c>
      <c r="AN139" s="197"/>
      <c r="AO139" s="198" t="str">
        <f t="shared" si="36"/>
        <v/>
      </c>
      <c r="AP139" s="197">
        <v>62116</v>
      </c>
      <c r="AQ139" s="198">
        <f t="shared" si="37"/>
        <v>7018.7570621468931</v>
      </c>
    </row>
    <row r="140" spans="1:43">
      <c r="A140" s="190" t="s">
        <v>265</v>
      </c>
      <c r="B140" s="196">
        <v>1.75</v>
      </c>
      <c r="D140" s="197">
        <v>10322.030000000001</v>
      </c>
      <c r="E140" s="198">
        <f t="shared" si="19"/>
        <v>5898.3028571428576</v>
      </c>
      <c r="F140" s="197">
        <v>105</v>
      </c>
      <c r="G140" s="198">
        <f t="shared" si="19"/>
        <v>60</v>
      </c>
      <c r="H140" s="197"/>
      <c r="I140" s="198" t="str">
        <f t="shared" si="20"/>
        <v/>
      </c>
      <c r="J140" s="197"/>
      <c r="K140" s="198" t="str">
        <f t="shared" si="21"/>
        <v/>
      </c>
      <c r="L140" s="197"/>
      <c r="M140" s="198" t="str">
        <f t="shared" si="22"/>
        <v/>
      </c>
      <c r="N140" s="197">
        <v>2174.9899999999998</v>
      </c>
      <c r="O140" s="198">
        <f t="shared" si="23"/>
        <v>1242.8514285714284</v>
      </c>
      <c r="P140" s="197">
        <v>3159.45</v>
      </c>
      <c r="Q140" s="198">
        <f t="shared" si="24"/>
        <v>1805.3999999999999</v>
      </c>
      <c r="R140" s="197"/>
      <c r="S140" s="198" t="str">
        <f t="shared" si="25"/>
        <v/>
      </c>
      <c r="T140" s="197"/>
      <c r="U140" s="198" t="str">
        <f t="shared" si="26"/>
        <v/>
      </c>
      <c r="V140" s="197"/>
      <c r="W140" s="198" t="str">
        <f t="shared" si="27"/>
        <v/>
      </c>
      <c r="X140" s="197"/>
      <c r="Y140" s="198" t="str">
        <f t="shared" si="28"/>
        <v/>
      </c>
      <c r="Z140" s="197"/>
      <c r="AA140" s="198" t="str">
        <f t="shared" si="29"/>
        <v/>
      </c>
      <c r="AB140" s="197"/>
      <c r="AC140" s="198" t="str">
        <f t="shared" si="30"/>
        <v/>
      </c>
      <c r="AD140" s="197">
        <v>15.19</v>
      </c>
      <c r="AE140" s="198">
        <f t="shared" si="31"/>
        <v>8.68</v>
      </c>
      <c r="AF140" s="197"/>
      <c r="AG140" s="198" t="str">
        <f t="shared" si="32"/>
        <v/>
      </c>
      <c r="AH140" s="197"/>
      <c r="AI140" s="198" t="str">
        <f t="shared" si="33"/>
        <v/>
      </c>
      <c r="AJ140" s="197">
        <v>9478.64</v>
      </c>
      <c r="AK140" s="198">
        <f t="shared" si="34"/>
        <v>5416.3657142857137</v>
      </c>
      <c r="AL140" s="197"/>
      <c r="AM140" s="198" t="str">
        <f t="shared" si="35"/>
        <v/>
      </c>
      <c r="AN140" s="197"/>
      <c r="AO140" s="198" t="str">
        <f t="shared" si="36"/>
        <v/>
      </c>
      <c r="AP140" s="197">
        <v>14933.27</v>
      </c>
      <c r="AQ140" s="198">
        <f t="shared" si="37"/>
        <v>8533.2971428571436</v>
      </c>
    </row>
    <row r="141" spans="1:43">
      <c r="A141" s="190" t="s">
        <v>266</v>
      </c>
      <c r="B141" s="196">
        <v>0</v>
      </c>
      <c r="D141" s="197">
        <v>2</v>
      </c>
      <c r="E141" s="198" t="str">
        <f t="shared" ref="E141:G204" si="38">IF(OR($B141=0,D141=0),"",D141/$B141)</f>
        <v/>
      </c>
      <c r="F141" s="197">
        <v>77</v>
      </c>
      <c r="G141" s="198" t="str">
        <f t="shared" si="38"/>
        <v/>
      </c>
      <c r="H141" s="197"/>
      <c r="I141" s="198" t="str">
        <f t="shared" ref="I141:I204" si="39">IF(OR($B141=0,H141=0),"",H141/$B141)</f>
        <v/>
      </c>
      <c r="J141" s="197"/>
      <c r="K141" s="198" t="str">
        <f t="shared" ref="K141:K204" si="40">IF(OR($B141=0,J141=0),"",J141/$B141)</f>
        <v/>
      </c>
      <c r="L141" s="197"/>
      <c r="M141" s="198" t="str">
        <f t="shared" ref="M141:M204" si="41">IF(OR($B141=0,L141=0),"",L141/$B141)</f>
        <v/>
      </c>
      <c r="N141" s="197">
        <v>4</v>
      </c>
      <c r="O141" s="198" t="str">
        <f t="shared" ref="O141:O204" si="42">IF(OR($B141=0,N141=0),"",N141/$B141)</f>
        <v/>
      </c>
      <c r="P141" s="197">
        <v>8</v>
      </c>
      <c r="Q141" s="198" t="str">
        <f t="shared" ref="Q141:Q204" si="43">IF(OR($B141=0,P141=0),"",P141/$B141)</f>
        <v/>
      </c>
      <c r="R141" s="197">
        <v>1</v>
      </c>
      <c r="S141" s="198" t="str">
        <f t="shared" ref="S141:S204" si="44">IF(OR($B141=0,R141=0),"",R141/$B141)</f>
        <v/>
      </c>
      <c r="T141" s="197">
        <v>1</v>
      </c>
      <c r="U141" s="198" t="str">
        <f t="shared" ref="U141:U204" si="45">IF(OR($B141=0,T141=0),"",T141/$B141)</f>
        <v/>
      </c>
      <c r="V141" s="197"/>
      <c r="W141" s="198" t="str">
        <f t="shared" ref="W141:W204" si="46">IF(OR($B141=0,V141=0),"",V141/$B141)</f>
        <v/>
      </c>
      <c r="X141" s="197"/>
      <c r="Y141" s="198" t="str">
        <f t="shared" ref="Y141:Y204" si="47">IF(OR($B141=0,X141=0),"",X141/$B141)</f>
        <v/>
      </c>
      <c r="Z141" s="197"/>
      <c r="AA141" s="198" t="str">
        <f t="shared" ref="AA141:AA204" si="48">IF(OR($B141=0,Z141=0),"",Z141/$B141)</f>
        <v/>
      </c>
      <c r="AB141" s="197"/>
      <c r="AC141" s="198" t="str">
        <f t="shared" ref="AC141:AC204" si="49">IF(OR($B141=0,AB141=0),"",AB141/$B141)</f>
        <v/>
      </c>
      <c r="AD141" s="197"/>
      <c r="AE141" s="198" t="str">
        <f t="shared" ref="AE141:AE204" si="50">IF(OR($B141=0,AD141=0),"",AD141/$B141)</f>
        <v/>
      </c>
      <c r="AF141" s="197"/>
      <c r="AG141" s="198" t="str">
        <f t="shared" ref="AG141:AG204" si="51">IF(OR($B141=0,AF141=0),"",AF141/$B141)</f>
        <v/>
      </c>
      <c r="AH141" s="197"/>
      <c r="AI141" s="198" t="str">
        <f t="shared" ref="AI141:AI204" si="52">IF(OR($B141=0,AH141=0),"",AH141/$B141)</f>
        <v/>
      </c>
      <c r="AJ141" s="197">
        <v>4</v>
      </c>
      <c r="AK141" s="198" t="str">
        <f t="shared" ref="AK141:AK204" si="53">IF(OR($B141=0,AJ141=0),"",AJ141/$B141)</f>
        <v/>
      </c>
      <c r="AL141" s="197"/>
      <c r="AM141" s="198" t="str">
        <f t="shared" ref="AM141:AM204" si="54">IF(OR($B141=0,AL141=0),"",AL141/$B141)</f>
        <v/>
      </c>
      <c r="AN141" s="197"/>
      <c r="AO141" s="198" t="str">
        <f t="shared" ref="AO141:AO204" si="55">IF(OR($B141=0,AN141=0),"",AN141/$B141)</f>
        <v/>
      </c>
      <c r="AP141" s="197">
        <v>95</v>
      </c>
      <c r="AQ141" s="198" t="str">
        <f t="shared" ref="AQ141:AQ204" si="56">IF(OR($B141=0,AP141=0),"",AP141/$B141)</f>
        <v/>
      </c>
    </row>
    <row r="142" spans="1:43">
      <c r="A142" s="200"/>
      <c r="B142">
        <v>0.03</v>
      </c>
      <c r="D142" s="201">
        <v>15</v>
      </c>
      <c r="E142" s="198">
        <f t="shared" si="38"/>
        <v>500</v>
      </c>
      <c r="F142" s="201">
        <v>604</v>
      </c>
      <c r="G142" s="198">
        <f t="shared" si="38"/>
        <v>20133.333333333336</v>
      </c>
      <c r="H142" s="201"/>
      <c r="I142" s="198" t="str">
        <f t="shared" si="39"/>
        <v/>
      </c>
      <c r="J142" s="201"/>
      <c r="K142" s="198" t="str">
        <f t="shared" si="40"/>
        <v/>
      </c>
      <c r="L142" s="201"/>
      <c r="M142" s="198" t="str">
        <f t="shared" si="41"/>
        <v/>
      </c>
      <c r="N142" s="201">
        <v>28</v>
      </c>
      <c r="O142" s="198">
        <f t="shared" si="42"/>
        <v>933.33333333333337</v>
      </c>
      <c r="P142" s="201">
        <v>67</v>
      </c>
      <c r="Q142" s="198">
        <f t="shared" si="43"/>
        <v>2233.3333333333335</v>
      </c>
      <c r="R142" s="201">
        <v>5</v>
      </c>
      <c r="S142" s="198">
        <f t="shared" si="44"/>
        <v>166.66666666666669</v>
      </c>
      <c r="T142" s="201">
        <v>6</v>
      </c>
      <c r="U142" s="198">
        <f t="shared" si="45"/>
        <v>200</v>
      </c>
      <c r="V142" s="201"/>
      <c r="W142" s="198" t="str">
        <f t="shared" si="46"/>
        <v/>
      </c>
      <c r="X142" s="201"/>
      <c r="Y142" s="198" t="str">
        <f t="shared" si="47"/>
        <v/>
      </c>
      <c r="Z142" s="201"/>
      <c r="AA142" s="198" t="str">
        <f t="shared" si="48"/>
        <v/>
      </c>
      <c r="AB142" s="201"/>
      <c r="AC142" s="198" t="str">
        <f t="shared" si="49"/>
        <v/>
      </c>
      <c r="AD142" s="201"/>
      <c r="AE142" s="198" t="str">
        <f t="shared" si="50"/>
        <v/>
      </c>
      <c r="AF142" s="201"/>
      <c r="AG142" s="198" t="str">
        <f t="shared" si="51"/>
        <v/>
      </c>
      <c r="AH142" s="201"/>
      <c r="AI142" s="198" t="str">
        <f t="shared" si="52"/>
        <v/>
      </c>
      <c r="AJ142" s="201">
        <v>32</v>
      </c>
      <c r="AK142" s="198">
        <f t="shared" si="53"/>
        <v>1066.6666666666667</v>
      </c>
      <c r="AL142" s="201"/>
      <c r="AM142" s="198" t="str">
        <f t="shared" si="54"/>
        <v/>
      </c>
      <c r="AN142" s="201"/>
      <c r="AO142" s="198" t="str">
        <f t="shared" si="55"/>
        <v/>
      </c>
      <c r="AP142" s="201">
        <v>742</v>
      </c>
      <c r="AQ142" s="198">
        <f t="shared" si="56"/>
        <v>24733.333333333336</v>
      </c>
    </row>
    <row r="143" spans="1:43">
      <c r="A143" s="200"/>
      <c r="B143">
        <v>0.55000000000000004</v>
      </c>
      <c r="D143" s="201">
        <v>328</v>
      </c>
      <c r="E143" s="198">
        <f t="shared" si="38"/>
        <v>596.36363636363626</v>
      </c>
      <c r="F143" s="201">
        <v>13229</v>
      </c>
      <c r="G143" s="198">
        <f t="shared" si="38"/>
        <v>24052.727272727272</v>
      </c>
      <c r="H143" s="201"/>
      <c r="I143" s="198" t="str">
        <f t="shared" si="39"/>
        <v/>
      </c>
      <c r="J143" s="201"/>
      <c r="K143" s="198" t="str">
        <f t="shared" si="40"/>
        <v/>
      </c>
      <c r="L143" s="201"/>
      <c r="M143" s="198" t="str">
        <f t="shared" si="41"/>
        <v/>
      </c>
      <c r="N143" s="201">
        <v>607</v>
      </c>
      <c r="O143" s="198">
        <f t="shared" si="42"/>
        <v>1103.6363636363635</v>
      </c>
      <c r="P143" s="201">
        <v>1462</v>
      </c>
      <c r="Q143" s="198">
        <f t="shared" si="43"/>
        <v>2658.181818181818</v>
      </c>
      <c r="R143" s="201">
        <v>105</v>
      </c>
      <c r="S143" s="198">
        <f t="shared" si="44"/>
        <v>190.90909090909091</v>
      </c>
      <c r="T143" s="201">
        <v>127</v>
      </c>
      <c r="U143" s="198">
        <f t="shared" si="45"/>
        <v>230.90909090909088</v>
      </c>
      <c r="V143" s="201"/>
      <c r="W143" s="198" t="str">
        <f t="shared" si="46"/>
        <v/>
      </c>
      <c r="X143" s="201"/>
      <c r="Y143" s="198" t="str">
        <f t="shared" si="47"/>
        <v/>
      </c>
      <c r="Z143" s="201"/>
      <c r="AA143" s="198" t="str">
        <f t="shared" si="48"/>
        <v/>
      </c>
      <c r="AB143" s="201"/>
      <c r="AC143" s="198" t="str">
        <f t="shared" si="49"/>
        <v/>
      </c>
      <c r="AD143" s="201"/>
      <c r="AE143" s="198" t="str">
        <f t="shared" si="50"/>
        <v/>
      </c>
      <c r="AF143" s="201"/>
      <c r="AG143" s="198" t="str">
        <f t="shared" si="51"/>
        <v/>
      </c>
      <c r="AH143" s="201"/>
      <c r="AI143" s="198" t="str">
        <f t="shared" si="52"/>
        <v/>
      </c>
      <c r="AJ143" s="201">
        <v>693</v>
      </c>
      <c r="AK143" s="198">
        <f t="shared" si="53"/>
        <v>1260</v>
      </c>
      <c r="AL143" s="201"/>
      <c r="AM143" s="198" t="str">
        <f t="shared" si="54"/>
        <v/>
      </c>
      <c r="AN143" s="201"/>
      <c r="AO143" s="198" t="str">
        <f t="shared" si="55"/>
        <v/>
      </c>
      <c r="AP143" s="201">
        <v>16223</v>
      </c>
      <c r="AQ143" s="198">
        <f t="shared" si="56"/>
        <v>29496.363636363632</v>
      </c>
    </row>
    <row r="144" spans="1:43">
      <c r="A144" s="200"/>
      <c r="B144">
        <v>0.13</v>
      </c>
      <c r="D144" s="201">
        <v>71</v>
      </c>
      <c r="E144" s="198">
        <f t="shared" si="38"/>
        <v>546.15384615384619</v>
      </c>
      <c r="F144" s="201">
        <v>2880</v>
      </c>
      <c r="G144" s="198">
        <f t="shared" si="38"/>
        <v>22153.846153846152</v>
      </c>
      <c r="H144" s="201"/>
      <c r="I144" s="198" t="str">
        <f t="shared" si="39"/>
        <v/>
      </c>
      <c r="J144" s="201"/>
      <c r="K144" s="198" t="str">
        <f t="shared" si="40"/>
        <v/>
      </c>
      <c r="L144" s="201"/>
      <c r="M144" s="198" t="str">
        <f t="shared" si="41"/>
        <v/>
      </c>
      <c r="N144" s="201">
        <v>132</v>
      </c>
      <c r="O144" s="198">
        <f t="shared" si="42"/>
        <v>1015.3846153846154</v>
      </c>
      <c r="P144" s="201">
        <v>318</v>
      </c>
      <c r="Q144" s="198">
        <f t="shared" si="43"/>
        <v>2446.1538461538462</v>
      </c>
      <c r="R144" s="201">
        <v>23</v>
      </c>
      <c r="S144" s="198">
        <f t="shared" si="44"/>
        <v>176.92307692307691</v>
      </c>
      <c r="T144" s="201">
        <v>28</v>
      </c>
      <c r="U144" s="198">
        <f t="shared" si="45"/>
        <v>215.38461538461539</v>
      </c>
      <c r="V144" s="201"/>
      <c r="W144" s="198" t="str">
        <f t="shared" si="46"/>
        <v/>
      </c>
      <c r="X144" s="201"/>
      <c r="Y144" s="198" t="str">
        <f t="shared" si="47"/>
        <v/>
      </c>
      <c r="Z144" s="201"/>
      <c r="AA144" s="198" t="str">
        <f t="shared" si="48"/>
        <v/>
      </c>
      <c r="AB144" s="201"/>
      <c r="AC144" s="198" t="str">
        <f t="shared" si="49"/>
        <v/>
      </c>
      <c r="AD144" s="201"/>
      <c r="AE144" s="198" t="str">
        <f t="shared" si="50"/>
        <v/>
      </c>
      <c r="AF144" s="201"/>
      <c r="AG144" s="198" t="str">
        <f t="shared" si="51"/>
        <v/>
      </c>
      <c r="AH144" s="201"/>
      <c r="AI144" s="198" t="str">
        <f t="shared" si="52"/>
        <v/>
      </c>
      <c r="AJ144" s="201">
        <v>151</v>
      </c>
      <c r="AK144" s="198">
        <f t="shared" si="53"/>
        <v>1161.5384615384614</v>
      </c>
      <c r="AL144" s="201"/>
      <c r="AM144" s="198" t="str">
        <f t="shared" si="54"/>
        <v/>
      </c>
      <c r="AN144" s="201"/>
      <c r="AO144" s="198" t="str">
        <f t="shared" si="55"/>
        <v/>
      </c>
      <c r="AP144" s="201">
        <v>3532</v>
      </c>
      <c r="AQ144" s="198">
        <f t="shared" si="56"/>
        <v>27169.23076923077</v>
      </c>
    </row>
    <row r="145" spans="1:43">
      <c r="A145" s="190" t="s">
        <v>267</v>
      </c>
      <c r="B145" s="196">
        <v>4.58</v>
      </c>
      <c r="D145" s="197">
        <v>6910</v>
      </c>
      <c r="E145" s="198">
        <f t="shared" si="38"/>
        <v>1508.7336244541484</v>
      </c>
      <c r="F145" s="197"/>
      <c r="G145" s="198" t="str">
        <f t="shared" si="38"/>
        <v/>
      </c>
      <c r="H145" s="197"/>
      <c r="I145" s="198" t="str">
        <f t="shared" si="39"/>
        <v/>
      </c>
      <c r="J145" s="197"/>
      <c r="K145" s="198" t="str">
        <f t="shared" si="40"/>
        <v/>
      </c>
      <c r="L145" s="197"/>
      <c r="M145" s="198" t="str">
        <f t="shared" si="41"/>
        <v/>
      </c>
      <c r="N145" s="197">
        <v>295</v>
      </c>
      <c r="O145" s="198">
        <f t="shared" si="42"/>
        <v>64.410480349344979</v>
      </c>
      <c r="P145" s="197">
        <v>5696</v>
      </c>
      <c r="Q145" s="198">
        <f t="shared" si="43"/>
        <v>1243.6681222707423</v>
      </c>
      <c r="R145" s="197"/>
      <c r="S145" s="198" t="str">
        <f t="shared" si="44"/>
        <v/>
      </c>
      <c r="T145" s="197">
        <v>1280</v>
      </c>
      <c r="U145" s="198">
        <f t="shared" si="45"/>
        <v>279.47598253275106</v>
      </c>
      <c r="V145" s="197"/>
      <c r="W145" s="198" t="str">
        <f t="shared" si="46"/>
        <v/>
      </c>
      <c r="X145" s="197"/>
      <c r="Y145" s="198" t="str">
        <f t="shared" si="47"/>
        <v/>
      </c>
      <c r="Z145" s="197"/>
      <c r="AA145" s="198" t="str">
        <f t="shared" si="48"/>
        <v/>
      </c>
      <c r="AB145" s="197"/>
      <c r="AC145" s="198" t="str">
        <f t="shared" si="49"/>
        <v/>
      </c>
      <c r="AD145" s="197"/>
      <c r="AE145" s="198" t="str">
        <f t="shared" si="50"/>
        <v/>
      </c>
      <c r="AF145" s="197"/>
      <c r="AG145" s="198" t="str">
        <f t="shared" si="51"/>
        <v/>
      </c>
      <c r="AH145" s="197"/>
      <c r="AI145" s="198" t="str">
        <f t="shared" si="52"/>
        <v/>
      </c>
      <c r="AJ145" s="197">
        <v>765</v>
      </c>
      <c r="AK145" s="198">
        <f t="shared" si="53"/>
        <v>167.03056768558952</v>
      </c>
      <c r="AL145" s="197"/>
      <c r="AM145" s="198" t="str">
        <f t="shared" si="54"/>
        <v/>
      </c>
      <c r="AN145" s="197">
        <v>58</v>
      </c>
      <c r="AO145" s="198">
        <f t="shared" si="55"/>
        <v>12.663755458515285</v>
      </c>
      <c r="AP145" s="197">
        <v>8094</v>
      </c>
      <c r="AQ145" s="198">
        <f t="shared" si="56"/>
        <v>1767.2489082969432</v>
      </c>
    </row>
    <row r="146" spans="1:43">
      <c r="A146" s="190" t="s">
        <v>268</v>
      </c>
      <c r="B146" s="196">
        <v>19.8</v>
      </c>
      <c r="D146" s="197">
        <v>77121</v>
      </c>
      <c r="E146" s="198">
        <f t="shared" si="38"/>
        <v>3895</v>
      </c>
      <c r="F146" s="197"/>
      <c r="G146" s="198" t="str">
        <f t="shared" si="38"/>
        <v/>
      </c>
      <c r="H146" s="197"/>
      <c r="I146" s="198" t="str">
        <f t="shared" si="39"/>
        <v/>
      </c>
      <c r="J146" s="197"/>
      <c r="K146" s="198" t="str">
        <f t="shared" si="40"/>
        <v/>
      </c>
      <c r="L146" s="197"/>
      <c r="M146" s="198" t="str">
        <f t="shared" si="41"/>
        <v/>
      </c>
      <c r="N146" s="197">
        <v>660</v>
      </c>
      <c r="O146" s="198">
        <f t="shared" si="42"/>
        <v>33.333333333333329</v>
      </c>
      <c r="P146" s="197">
        <v>15675</v>
      </c>
      <c r="Q146" s="198">
        <f t="shared" si="43"/>
        <v>791.66666666666663</v>
      </c>
      <c r="R146" s="197"/>
      <c r="S146" s="198" t="str">
        <f t="shared" si="44"/>
        <v/>
      </c>
      <c r="T146" s="197"/>
      <c r="U146" s="198" t="str">
        <f t="shared" si="45"/>
        <v/>
      </c>
      <c r="V146" s="197">
        <v>6700</v>
      </c>
      <c r="W146" s="198">
        <f t="shared" si="46"/>
        <v>338.38383838383839</v>
      </c>
      <c r="X146" s="197"/>
      <c r="Y146" s="198" t="str">
        <f t="shared" si="47"/>
        <v/>
      </c>
      <c r="Z146" s="197"/>
      <c r="AA146" s="198" t="str">
        <f t="shared" si="48"/>
        <v/>
      </c>
      <c r="AB146" s="197"/>
      <c r="AC146" s="198" t="str">
        <f t="shared" si="49"/>
        <v/>
      </c>
      <c r="AD146" s="197">
        <v>519</v>
      </c>
      <c r="AE146" s="198">
        <f t="shared" si="50"/>
        <v>26.212121212121211</v>
      </c>
      <c r="AF146" s="197"/>
      <c r="AG146" s="198" t="str">
        <f t="shared" si="51"/>
        <v/>
      </c>
      <c r="AH146" s="197"/>
      <c r="AI146" s="198" t="str">
        <f t="shared" si="52"/>
        <v/>
      </c>
      <c r="AJ146" s="197">
        <v>8785</v>
      </c>
      <c r="AK146" s="198">
        <f t="shared" si="53"/>
        <v>443.68686868686865</v>
      </c>
      <c r="AL146" s="197"/>
      <c r="AM146" s="198" t="str">
        <f t="shared" si="54"/>
        <v/>
      </c>
      <c r="AN146" s="197"/>
      <c r="AO146" s="198" t="str">
        <f t="shared" si="55"/>
        <v/>
      </c>
      <c r="AP146" s="197">
        <v>32339</v>
      </c>
      <c r="AQ146" s="198">
        <f t="shared" si="56"/>
        <v>1633.2828282828282</v>
      </c>
    </row>
    <row r="147" spans="1:43">
      <c r="A147" s="200"/>
      <c r="B147">
        <v>13.04</v>
      </c>
      <c r="D147" s="201"/>
      <c r="E147" s="198" t="str">
        <f t="shared" si="38"/>
        <v/>
      </c>
      <c r="F147" s="201"/>
      <c r="G147" s="198" t="str">
        <f t="shared" si="38"/>
        <v/>
      </c>
      <c r="H147" s="201"/>
      <c r="I147" s="198" t="str">
        <f t="shared" si="39"/>
        <v/>
      </c>
      <c r="J147" s="201"/>
      <c r="K147" s="198" t="str">
        <f t="shared" si="40"/>
        <v/>
      </c>
      <c r="L147" s="201"/>
      <c r="M147" s="198" t="str">
        <f t="shared" si="41"/>
        <v/>
      </c>
      <c r="N147" s="201">
        <v>60</v>
      </c>
      <c r="O147" s="198">
        <f t="shared" si="42"/>
        <v>4.6012269938650308</v>
      </c>
      <c r="P147" s="201">
        <v>1929</v>
      </c>
      <c r="Q147" s="198">
        <f t="shared" si="43"/>
        <v>147.92944785276075</v>
      </c>
      <c r="R147" s="201"/>
      <c r="S147" s="198" t="str">
        <f t="shared" si="44"/>
        <v/>
      </c>
      <c r="T147" s="201"/>
      <c r="U147" s="198" t="str">
        <f t="shared" si="45"/>
        <v/>
      </c>
      <c r="V147" s="201">
        <v>36658</v>
      </c>
      <c r="W147" s="198">
        <f t="shared" si="46"/>
        <v>2811.1963190184051</v>
      </c>
      <c r="X147" s="201"/>
      <c r="Y147" s="198" t="str">
        <f t="shared" si="47"/>
        <v/>
      </c>
      <c r="Z147" s="201"/>
      <c r="AA147" s="198" t="str">
        <f t="shared" si="48"/>
        <v/>
      </c>
      <c r="AB147" s="201"/>
      <c r="AC147" s="198" t="str">
        <f t="shared" si="49"/>
        <v/>
      </c>
      <c r="AD147" s="201">
        <v>-308</v>
      </c>
      <c r="AE147" s="198">
        <f t="shared" si="50"/>
        <v>-23.619631901840492</v>
      </c>
      <c r="AF147" s="201"/>
      <c r="AG147" s="198" t="str">
        <f t="shared" si="51"/>
        <v/>
      </c>
      <c r="AH147" s="201"/>
      <c r="AI147" s="198" t="str">
        <f t="shared" si="52"/>
        <v/>
      </c>
      <c r="AJ147" s="201"/>
      <c r="AK147" s="198" t="str">
        <f t="shared" si="53"/>
        <v/>
      </c>
      <c r="AL147" s="201"/>
      <c r="AM147" s="198" t="str">
        <f t="shared" si="54"/>
        <v/>
      </c>
      <c r="AN147" s="201"/>
      <c r="AO147" s="198" t="str">
        <f t="shared" si="55"/>
        <v/>
      </c>
      <c r="AP147" s="201">
        <v>38339</v>
      </c>
      <c r="AQ147" s="198">
        <f t="shared" si="56"/>
        <v>2940.1073619631902</v>
      </c>
    </row>
    <row r="148" spans="1:43">
      <c r="A148" s="200"/>
      <c r="B148">
        <v>0.61</v>
      </c>
      <c r="D148" s="201"/>
      <c r="E148" s="198" t="str">
        <f t="shared" si="38"/>
        <v/>
      </c>
      <c r="F148" s="201"/>
      <c r="G148" s="198" t="str">
        <f t="shared" si="38"/>
        <v/>
      </c>
      <c r="H148" s="201"/>
      <c r="I148" s="198" t="str">
        <f t="shared" si="39"/>
        <v/>
      </c>
      <c r="J148" s="201"/>
      <c r="K148" s="198" t="str">
        <f t="shared" si="40"/>
        <v/>
      </c>
      <c r="L148" s="201"/>
      <c r="M148" s="198" t="str">
        <f t="shared" si="41"/>
        <v/>
      </c>
      <c r="N148" s="201"/>
      <c r="O148" s="198" t="str">
        <f t="shared" si="42"/>
        <v/>
      </c>
      <c r="P148" s="201"/>
      <c r="Q148" s="198" t="str">
        <f t="shared" si="43"/>
        <v/>
      </c>
      <c r="R148" s="201"/>
      <c r="S148" s="198" t="str">
        <f t="shared" si="44"/>
        <v/>
      </c>
      <c r="T148" s="201"/>
      <c r="U148" s="198" t="str">
        <f t="shared" si="45"/>
        <v/>
      </c>
      <c r="V148" s="201"/>
      <c r="W148" s="198" t="str">
        <f t="shared" si="46"/>
        <v/>
      </c>
      <c r="X148" s="201"/>
      <c r="Y148" s="198" t="str">
        <f t="shared" si="47"/>
        <v/>
      </c>
      <c r="Z148" s="201"/>
      <c r="AA148" s="198" t="str">
        <f t="shared" si="48"/>
        <v/>
      </c>
      <c r="AB148" s="201"/>
      <c r="AC148" s="198" t="str">
        <f t="shared" si="49"/>
        <v/>
      </c>
      <c r="AD148" s="201"/>
      <c r="AE148" s="198" t="str">
        <f t="shared" si="50"/>
        <v/>
      </c>
      <c r="AF148" s="201"/>
      <c r="AG148" s="198" t="str">
        <f t="shared" si="51"/>
        <v/>
      </c>
      <c r="AH148" s="201"/>
      <c r="AI148" s="198" t="str">
        <f t="shared" si="52"/>
        <v/>
      </c>
      <c r="AJ148" s="201"/>
      <c r="AK148" s="198" t="str">
        <f t="shared" si="53"/>
        <v/>
      </c>
      <c r="AL148" s="201"/>
      <c r="AM148" s="198" t="str">
        <f t="shared" si="54"/>
        <v/>
      </c>
      <c r="AN148" s="201"/>
      <c r="AO148" s="198" t="str">
        <f t="shared" si="55"/>
        <v/>
      </c>
      <c r="AP148" s="201"/>
      <c r="AQ148" s="198" t="str">
        <f t="shared" si="56"/>
        <v/>
      </c>
    </row>
    <row r="149" spans="1:43">
      <c r="A149" s="200"/>
      <c r="B149">
        <v>20.04</v>
      </c>
      <c r="D149" s="201">
        <v>3620</v>
      </c>
      <c r="E149" s="198">
        <f t="shared" si="38"/>
        <v>180.63872255489022</v>
      </c>
      <c r="F149" s="201"/>
      <c r="G149" s="198" t="str">
        <f t="shared" si="38"/>
        <v/>
      </c>
      <c r="H149" s="201"/>
      <c r="I149" s="198" t="str">
        <f t="shared" si="39"/>
        <v/>
      </c>
      <c r="J149" s="201"/>
      <c r="K149" s="198" t="str">
        <f t="shared" si="40"/>
        <v/>
      </c>
      <c r="L149" s="201"/>
      <c r="M149" s="198" t="str">
        <f t="shared" si="41"/>
        <v/>
      </c>
      <c r="N149" s="201">
        <v>30</v>
      </c>
      <c r="O149" s="198">
        <f t="shared" si="42"/>
        <v>1.4970059880239521</v>
      </c>
      <c r="P149" s="201">
        <v>34007</v>
      </c>
      <c r="Q149" s="198">
        <f t="shared" si="43"/>
        <v>1696.9560878243515</v>
      </c>
      <c r="R149" s="201"/>
      <c r="S149" s="198" t="str">
        <f t="shared" si="44"/>
        <v/>
      </c>
      <c r="T149" s="201"/>
      <c r="U149" s="198" t="str">
        <f t="shared" si="45"/>
        <v/>
      </c>
      <c r="V149" s="201">
        <v>44059</v>
      </c>
      <c r="W149" s="198">
        <f t="shared" si="46"/>
        <v>2198.552894211577</v>
      </c>
      <c r="X149" s="201"/>
      <c r="Y149" s="198" t="str">
        <f t="shared" si="47"/>
        <v/>
      </c>
      <c r="Z149" s="201"/>
      <c r="AA149" s="198" t="str">
        <f t="shared" si="48"/>
        <v/>
      </c>
      <c r="AB149" s="201"/>
      <c r="AC149" s="198" t="str">
        <f t="shared" si="49"/>
        <v/>
      </c>
      <c r="AD149" s="201"/>
      <c r="AE149" s="198" t="str">
        <f t="shared" si="50"/>
        <v/>
      </c>
      <c r="AF149" s="201"/>
      <c r="AG149" s="198" t="str">
        <f t="shared" si="51"/>
        <v/>
      </c>
      <c r="AH149" s="201"/>
      <c r="AI149" s="198" t="str">
        <f t="shared" si="52"/>
        <v/>
      </c>
      <c r="AJ149" s="201"/>
      <c r="AK149" s="198" t="str">
        <f t="shared" si="53"/>
        <v/>
      </c>
      <c r="AL149" s="201"/>
      <c r="AM149" s="198" t="str">
        <f t="shared" si="54"/>
        <v/>
      </c>
      <c r="AN149" s="201"/>
      <c r="AO149" s="198" t="str">
        <f t="shared" si="55"/>
        <v/>
      </c>
      <c r="AP149" s="201">
        <v>78096</v>
      </c>
      <c r="AQ149" s="198">
        <f t="shared" si="56"/>
        <v>3897.0059880239523</v>
      </c>
    </row>
    <row r="150" spans="1:43">
      <c r="A150" s="200"/>
      <c r="D150" s="201"/>
      <c r="E150" s="198" t="str">
        <f t="shared" si="38"/>
        <v/>
      </c>
      <c r="F150" s="201"/>
      <c r="G150" s="198" t="str">
        <f t="shared" si="38"/>
        <v/>
      </c>
      <c r="H150" s="201"/>
      <c r="I150" s="198" t="str">
        <f t="shared" si="39"/>
        <v/>
      </c>
      <c r="J150" s="201"/>
      <c r="K150" s="198" t="str">
        <f t="shared" si="40"/>
        <v/>
      </c>
      <c r="L150" s="201"/>
      <c r="M150" s="198" t="str">
        <f t="shared" si="41"/>
        <v/>
      </c>
      <c r="N150" s="201"/>
      <c r="O150" s="198" t="str">
        <f t="shared" si="42"/>
        <v/>
      </c>
      <c r="P150" s="201"/>
      <c r="Q150" s="198" t="str">
        <f t="shared" si="43"/>
        <v/>
      </c>
      <c r="R150" s="201"/>
      <c r="S150" s="198" t="str">
        <f t="shared" si="44"/>
        <v/>
      </c>
      <c r="T150" s="201"/>
      <c r="U150" s="198" t="str">
        <f t="shared" si="45"/>
        <v/>
      </c>
      <c r="V150" s="201"/>
      <c r="W150" s="198" t="str">
        <f t="shared" si="46"/>
        <v/>
      </c>
      <c r="X150" s="201"/>
      <c r="Y150" s="198" t="str">
        <f t="shared" si="47"/>
        <v/>
      </c>
      <c r="Z150" s="201"/>
      <c r="AA150" s="198" t="str">
        <f t="shared" si="48"/>
        <v/>
      </c>
      <c r="AB150" s="201"/>
      <c r="AC150" s="198" t="str">
        <f t="shared" si="49"/>
        <v/>
      </c>
      <c r="AD150" s="201">
        <v>109912</v>
      </c>
      <c r="AE150" s="198" t="str">
        <f t="shared" si="50"/>
        <v/>
      </c>
      <c r="AF150" s="201"/>
      <c r="AG150" s="198" t="str">
        <f t="shared" si="51"/>
        <v/>
      </c>
      <c r="AH150" s="201"/>
      <c r="AI150" s="198" t="str">
        <f t="shared" si="52"/>
        <v/>
      </c>
      <c r="AJ150" s="201"/>
      <c r="AK150" s="198" t="str">
        <f t="shared" si="53"/>
        <v/>
      </c>
      <c r="AL150" s="201"/>
      <c r="AM150" s="198" t="str">
        <f t="shared" si="54"/>
        <v/>
      </c>
      <c r="AN150" s="201"/>
      <c r="AO150" s="198" t="str">
        <f t="shared" si="55"/>
        <v/>
      </c>
      <c r="AP150" s="201">
        <v>109912</v>
      </c>
      <c r="AQ150" s="198" t="str">
        <f t="shared" si="56"/>
        <v/>
      </c>
    </row>
    <row r="151" spans="1:43">
      <c r="A151" s="200"/>
      <c r="D151" s="201"/>
      <c r="E151" s="198" t="str">
        <f t="shared" si="38"/>
        <v/>
      </c>
      <c r="F151" s="201"/>
      <c r="G151" s="198" t="str">
        <f t="shared" si="38"/>
        <v/>
      </c>
      <c r="H151" s="201"/>
      <c r="I151" s="198" t="str">
        <f t="shared" si="39"/>
        <v/>
      </c>
      <c r="J151" s="201"/>
      <c r="K151" s="198" t="str">
        <f t="shared" si="40"/>
        <v/>
      </c>
      <c r="L151" s="201"/>
      <c r="M151" s="198" t="str">
        <f t="shared" si="41"/>
        <v/>
      </c>
      <c r="N151" s="201"/>
      <c r="O151" s="198" t="str">
        <f t="shared" si="42"/>
        <v/>
      </c>
      <c r="P151" s="201"/>
      <c r="Q151" s="198" t="str">
        <f t="shared" si="43"/>
        <v/>
      </c>
      <c r="R151" s="201"/>
      <c r="S151" s="198" t="str">
        <f t="shared" si="44"/>
        <v/>
      </c>
      <c r="T151" s="201"/>
      <c r="U151" s="198" t="str">
        <f t="shared" si="45"/>
        <v/>
      </c>
      <c r="V151" s="201"/>
      <c r="W151" s="198" t="str">
        <f t="shared" si="46"/>
        <v/>
      </c>
      <c r="X151" s="201"/>
      <c r="Y151" s="198" t="str">
        <f t="shared" si="47"/>
        <v/>
      </c>
      <c r="Z151" s="201"/>
      <c r="AA151" s="198" t="str">
        <f t="shared" si="48"/>
        <v/>
      </c>
      <c r="AB151" s="201"/>
      <c r="AC151" s="198" t="str">
        <f t="shared" si="49"/>
        <v/>
      </c>
      <c r="AD151" s="201">
        <v>53651</v>
      </c>
      <c r="AE151" s="198" t="str">
        <f t="shared" si="50"/>
        <v/>
      </c>
      <c r="AF151" s="201"/>
      <c r="AG151" s="198" t="str">
        <f t="shared" si="51"/>
        <v/>
      </c>
      <c r="AH151" s="201"/>
      <c r="AI151" s="198" t="str">
        <f t="shared" si="52"/>
        <v/>
      </c>
      <c r="AJ151" s="201"/>
      <c r="AK151" s="198" t="str">
        <f t="shared" si="53"/>
        <v/>
      </c>
      <c r="AL151" s="201"/>
      <c r="AM151" s="198" t="str">
        <f t="shared" si="54"/>
        <v/>
      </c>
      <c r="AN151" s="201"/>
      <c r="AO151" s="198" t="str">
        <f t="shared" si="55"/>
        <v/>
      </c>
      <c r="AP151" s="201">
        <v>53651</v>
      </c>
      <c r="AQ151" s="198" t="str">
        <f t="shared" si="56"/>
        <v/>
      </c>
    </row>
    <row r="152" spans="1:43">
      <c r="A152" s="200"/>
      <c r="B152">
        <v>0.94</v>
      </c>
      <c r="D152" s="201">
        <v>2000</v>
      </c>
      <c r="E152" s="198">
        <f t="shared" si="38"/>
        <v>2127.6595744680853</v>
      </c>
      <c r="F152" s="201"/>
      <c r="G152" s="198" t="str">
        <f t="shared" si="38"/>
        <v/>
      </c>
      <c r="H152" s="201"/>
      <c r="I152" s="198" t="str">
        <f t="shared" si="39"/>
        <v/>
      </c>
      <c r="J152" s="201"/>
      <c r="K152" s="198" t="str">
        <f t="shared" si="40"/>
        <v/>
      </c>
      <c r="L152" s="201"/>
      <c r="M152" s="198" t="str">
        <f t="shared" si="41"/>
        <v/>
      </c>
      <c r="N152" s="201"/>
      <c r="O152" s="198" t="str">
        <f t="shared" si="42"/>
        <v/>
      </c>
      <c r="P152" s="201">
        <v>863</v>
      </c>
      <c r="Q152" s="198">
        <f t="shared" si="43"/>
        <v>918.08510638297878</v>
      </c>
      <c r="R152" s="201"/>
      <c r="S152" s="198" t="str">
        <f t="shared" si="44"/>
        <v/>
      </c>
      <c r="T152" s="201"/>
      <c r="U152" s="198" t="str">
        <f t="shared" si="45"/>
        <v/>
      </c>
      <c r="V152" s="201"/>
      <c r="W152" s="198" t="str">
        <f t="shared" si="46"/>
        <v/>
      </c>
      <c r="X152" s="201"/>
      <c r="Y152" s="198" t="str">
        <f t="shared" si="47"/>
        <v/>
      </c>
      <c r="Z152" s="201"/>
      <c r="AA152" s="198" t="str">
        <f t="shared" si="48"/>
        <v/>
      </c>
      <c r="AB152" s="201"/>
      <c r="AC152" s="198" t="str">
        <f t="shared" si="49"/>
        <v/>
      </c>
      <c r="AD152" s="201">
        <v>17712</v>
      </c>
      <c r="AE152" s="198">
        <f t="shared" si="50"/>
        <v>18842.553191489362</v>
      </c>
      <c r="AF152" s="201"/>
      <c r="AG152" s="198" t="str">
        <f t="shared" si="51"/>
        <v/>
      </c>
      <c r="AH152" s="201"/>
      <c r="AI152" s="198" t="str">
        <f t="shared" si="52"/>
        <v/>
      </c>
      <c r="AJ152" s="201"/>
      <c r="AK152" s="198" t="str">
        <f t="shared" si="53"/>
        <v/>
      </c>
      <c r="AL152" s="201"/>
      <c r="AM152" s="198" t="str">
        <f t="shared" si="54"/>
        <v/>
      </c>
      <c r="AN152" s="201"/>
      <c r="AO152" s="198" t="str">
        <f t="shared" si="55"/>
        <v/>
      </c>
      <c r="AP152" s="201">
        <v>18575</v>
      </c>
      <c r="AQ152" s="198">
        <f t="shared" si="56"/>
        <v>19760.638297872341</v>
      </c>
    </row>
    <row r="153" spans="1:43">
      <c r="A153" s="200"/>
      <c r="B153">
        <v>0.02</v>
      </c>
      <c r="D153" s="201"/>
      <c r="E153" s="198" t="str">
        <f t="shared" si="38"/>
        <v/>
      </c>
      <c r="F153" s="201"/>
      <c r="G153" s="198" t="str">
        <f t="shared" si="38"/>
        <v/>
      </c>
      <c r="H153" s="201"/>
      <c r="I153" s="198" t="str">
        <f t="shared" si="39"/>
        <v/>
      </c>
      <c r="J153" s="201"/>
      <c r="K153" s="198" t="str">
        <f t="shared" si="40"/>
        <v/>
      </c>
      <c r="L153" s="201"/>
      <c r="M153" s="198" t="str">
        <f t="shared" si="41"/>
        <v/>
      </c>
      <c r="N153" s="201"/>
      <c r="O153" s="198" t="str">
        <f t="shared" si="42"/>
        <v/>
      </c>
      <c r="P153" s="201"/>
      <c r="Q153" s="198" t="str">
        <f t="shared" si="43"/>
        <v/>
      </c>
      <c r="R153" s="201"/>
      <c r="S153" s="198" t="str">
        <f t="shared" si="44"/>
        <v/>
      </c>
      <c r="T153" s="201"/>
      <c r="U153" s="198" t="str">
        <f t="shared" si="45"/>
        <v/>
      </c>
      <c r="V153" s="201"/>
      <c r="W153" s="198" t="str">
        <f t="shared" si="46"/>
        <v/>
      </c>
      <c r="X153" s="201"/>
      <c r="Y153" s="198" t="str">
        <f t="shared" si="47"/>
        <v/>
      </c>
      <c r="Z153" s="201"/>
      <c r="AA153" s="198" t="str">
        <f t="shared" si="48"/>
        <v/>
      </c>
      <c r="AB153" s="201"/>
      <c r="AC153" s="198" t="str">
        <f t="shared" si="49"/>
        <v/>
      </c>
      <c r="AD153" s="201">
        <v>4675</v>
      </c>
      <c r="AE153" s="198">
        <f t="shared" si="50"/>
        <v>233750</v>
      </c>
      <c r="AF153" s="201"/>
      <c r="AG153" s="198" t="str">
        <f t="shared" si="51"/>
        <v/>
      </c>
      <c r="AH153" s="201"/>
      <c r="AI153" s="198" t="str">
        <f t="shared" si="52"/>
        <v/>
      </c>
      <c r="AJ153" s="201"/>
      <c r="AK153" s="198" t="str">
        <f t="shared" si="53"/>
        <v/>
      </c>
      <c r="AL153" s="201"/>
      <c r="AM153" s="198" t="str">
        <f t="shared" si="54"/>
        <v/>
      </c>
      <c r="AN153" s="201"/>
      <c r="AO153" s="198" t="str">
        <f t="shared" si="55"/>
        <v/>
      </c>
      <c r="AP153" s="201">
        <v>4675</v>
      </c>
      <c r="AQ153" s="198">
        <f t="shared" si="56"/>
        <v>233750</v>
      </c>
    </row>
    <row r="154" spans="1:43">
      <c r="A154" s="200"/>
      <c r="B154">
        <v>2.61</v>
      </c>
      <c r="D154" s="201"/>
      <c r="E154" s="198" t="str">
        <f t="shared" si="38"/>
        <v/>
      </c>
      <c r="F154" s="201"/>
      <c r="G154" s="198" t="str">
        <f t="shared" si="38"/>
        <v/>
      </c>
      <c r="H154" s="201"/>
      <c r="I154" s="198" t="str">
        <f t="shared" si="39"/>
        <v/>
      </c>
      <c r="J154" s="201"/>
      <c r="K154" s="198" t="str">
        <f t="shared" si="40"/>
        <v/>
      </c>
      <c r="L154" s="201"/>
      <c r="M154" s="198" t="str">
        <f t="shared" si="41"/>
        <v/>
      </c>
      <c r="N154" s="201"/>
      <c r="O154" s="198" t="str">
        <f t="shared" si="42"/>
        <v/>
      </c>
      <c r="P154" s="201">
        <v>12472</v>
      </c>
      <c r="Q154" s="198">
        <f t="shared" si="43"/>
        <v>4778.5440613026822</v>
      </c>
      <c r="R154" s="201"/>
      <c r="S154" s="198" t="str">
        <f t="shared" si="44"/>
        <v/>
      </c>
      <c r="T154" s="201"/>
      <c r="U154" s="198" t="str">
        <f t="shared" si="45"/>
        <v/>
      </c>
      <c r="V154" s="201">
        <v>486</v>
      </c>
      <c r="W154" s="198">
        <f t="shared" si="46"/>
        <v>186.20689655172416</v>
      </c>
      <c r="X154" s="201"/>
      <c r="Y154" s="198" t="str">
        <f t="shared" si="47"/>
        <v/>
      </c>
      <c r="Z154" s="201"/>
      <c r="AA154" s="198" t="str">
        <f t="shared" si="48"/>
        <v/>
      </c>
      <c r="AB154" s="201"/>
      <c r="AC154" s="198" t="str">
        <f t="shared" si="49"/>
        <v/>
      </c>
      <c r="AD154" s="201"/>
      <c r="AE154" s="198" t="str">
        <f t="shared" si="50"/>
        <v/>
      </c>
      <c r="AF154" s="201"/>
      <c r="AG154" s="198" t="str">
        <f t="shared" si="51"/>
        <v/>
      </c>
      <c r="AH154" s="201"/>
      <c r="AI154" s="198" t="str">
        <f t="shared" si="52"/>
        <v/>
      </c>
      <c r="AJ154" s="201"/>
      <c r="AK154" s="198" t="str">
        <f t="shared" si="53"/>
        <v/>
      </c>
      <c r="AL154" s="201"/>
      <c r="AM154" s="198" t="str">
        <f t="shared" si="54"/>
        <v/>
      </c>
      <c r="AN154" s="201"/>
      <c r="AO154" s="198" t="str">
        <f t="shared" si="55"/>
        <v/>
      </c>
      <c r="AP154" s="201">
        <v>12958</v>
      </c>
      <c r="AQ154" s="198">
        <f t="shared" si="56"/>
        <v>4964.7509578544068</v>
      </c>
    </row>
    <row r="155" spans="1:43">
      <c r="A155" s="200"/>
      <c r="B155">
        <v>0.17</v>
      </c>
      <c r="D155" s="201"/>
      <c r="E155" s="198" t="str">
        <f t="shared" si="38"/>
        <v/>
      </c>
      <c r="F155" s="201"/>
      <c r="G155" s="198" t="str">
        <f t="shared" si="38"/>
        <v/>
      </c>
      <c r="H155" s="201"/>
      <c r="I155" s="198" t="str">
        <f t="shared" si="39"/>
        <v/>
      </c>
      <c r="J155" s="201"/>
      <c r="K155" s="198" t="str">
        <f t="shared" si="40"/>
        <v/>
      </c>
      <c r="L155" s="201"/>
      <c r="M155" s="198" t="str">
        <f t="shared" si="41"/>
        <v/>
      </c>
      <c r="N155" s="201"/>
      <c r="O155" s="198" t="str">
        <f t="shared" si="42"/>
        <v/>
      </c>
      <c r="P155" s="201"/>
      <c r="Q155" s="198" t="str">
        <f t="shared" si="43"/>
        <v/>
      </c>
      <c r="R155" s="201">
        <v>95</v>
      </c>
      <c r="S155" s="198">
        <f t="shared" si="44"/>
        <v>558.82352941176464</v>
      </c>
      <c r="T155" s="201"/>
      <c r="U155" s="198" t="str">
        <f t="shared" si="45"/>
        <v/>
      </c>
      <c r="V155" s="201"/>
      <c r="W155" s="198" t="str">
        <f t="shared" si="46"/>
        <v/>
      </c>
      <c r="X155" s="201"/>
      <c r="Y155" s="198" t="str">
        <f t="shared" si="47"/>
        <v/>
      </c>
      <c r="Z155" s="201"/>
      <c r="AA155" s="198" t="str">
        <f t="shared" si="48"/>
        <v/>
      </c>
      <c r="AB155" s="201"/>
      <c r="AC155" s="198" t="str">
        <f t="shared" si="49"/>
        <v/>
      </c>
      <c r="AD155" s="201"/>
      <c r="AE155" s="198" t="str">
        <f t="shared" si="50"/>
        <v/>
      </c>
      <c r="AF155" s="201"/>
      <c r="AG155" s="198" t="str">
        <f t="shared" si="51"/>
        <v/>
      </c>
      <c r="AH155" s="201"/>
      <c r="AI155" s="198" t="str">
        <f t="shared" si="52"/>
        <v/>
      </c>
      <c r="AJ155" s="201">
        <v>3199</v>
      </c>
      <c r="AK155" s="198">
        <f t="shared" si="53"/>
        <v>18817.647058823528</v>
      </c>
      <c r="AL155" s="201"/>
      <c r="AM155" s="198" t="str">
        <f t="shared" si="54"/>
        <v/>
      </c>
      <c r="AN155" s="201"/>
      <c r="AO155" s="198" t="str">
        <f t="shared" si="55"/>
        <v/>
      </c>
      <c r="AP155" s="201">
        <v>3294</v>
      </c>
      <c r="AQ155" s="198">
        <f t="shared" si="56"/>
        <v>19376.470588235294</v>
      </c>
    </row>
    <row r="156" spans="1:43">
      <c r="A156" s="200"/>
      <c r="B156">
        <v>0.95</v>
      </c>
      <c r="D156" s="201"/>
      <c r="E156" s="198" t="str">
        <f t="shared" si="38"/>
        <v/>
      </c>
      <c r="F156" s="201"/>
      <c r="G156" s="198" t="str">
        <f t="shared" si="38"/>
        <v/>
      </c>
      <c r="H156" s="201"/>
      <c r="I156" s="198" t="str">
        <f t="shared" si="39"/>
        <v/>
      </c>
      <c r="J156" s="201"/>
      <c r="K156" s="198" t="str">
        <f t="shared" si="40"/>
        <v/>
      </c>
      <c r="L156" s="201"/>
      <c r="M156" s="198" t="str">
        <f t="shared" si="41"/>
        <v/>
      </c>
      <c r="N156" s="201"/>
      <c r="O156" s="198" t="str">
        <f t="shared" si="42"/>
        <v/>
      </c>
      <c r="P156" s="201"/>
      <c r="Q156" s="198" t="str">
        <f t="shared" si="43"/>
        <v/>
      </c>
      <c r="R156" s="201"/>
      <c r="S156" s="198" t="str">
        <f t="shared" si="44"/>
        <v/>
      </c>
      <c r="T156" s="201"/>
      <c r="U156" s="198" t="str">
        <f t="shared" si="45"/>
        <v/>
      </c>
      <c r="V156" s="201"/>
      <c r="W156" s="198" t="str">
        <f t="shared" si="46"/>
        <v/>
      </c>
      <c r="X156" s="201"/>
      <c r="Y156" s="198" t="str">
        <f t="shared" si="47"/>
        <v/>
      </c>
      <c r="Z156" s="201"/>
      <c r="AA156" s="198" t="str">
        <f t="shared" si="48"/>
        <v/>
      </c>
      <c r="AB156" s="201"/>
      <c r="AC156" s="198" t="str">
        <f t="shared" si="49"/>
        <v/>
      </c>
      <c r="AD156" s="201"/>
      <c r="AE156" s="198" t="str">
        <f t="shared" si="50"/>
        <v/>
      </c>
      <c r="AF156" s="201"/>
      <c r="AG156" s="198" t="str">
        <f t="shared" si="51"/>
        <v/>
      </c>
      <c r="AH156" s="201"/>
      <c r="AI156" s="198" t="str">
        <f t="shared" si="52"/>
        <v/>
      </c>
      <c r="AJ156" s="201"/>
      <c r="AK156" s="198" t="str">
        <f t="shared" si="53"/>
        <v/>
      </c>
      <c r="AL156" s="201"/>
      <c r="AM156" s="198" t="str">
        <f t="shared" si="54"/>
        <v/>
      </c>
      <c r="AN156" s="201"/>
      <c r="AO156" s="198" t="str">
        <f t="shared" si="55"/>
        <v/>
      </c>
      <c r="AP156" s="201"/>
      <c r="AQ156" s="198" t="str">
        <f t="shared" si="56"/>
        <v/>
      </c>
    </row>
    <row r="157" spans="1:43">
      <c r="A157" s="190" t="s">
        <v>269</v>
      </c>
      <c r="B157" s="196">
        <v>2.98</v>
      </c>
      <c r="D157" s="197">
        <v>7260</v>
      </c>
      <c r="E157" s="198">
        <f t="shared" si="38"/>
        <v>2436.2416107382551</v>
      </c>
      <c r="F157" s="197"/>
      <c r="G157" s="198" t="str">
        <f t="shared" si="38"/>
        <v/>
      </c>
      <c r="H157" s="197"/>
      <c r="I157" s="198" t="str">
        <f t="shared" si="39"/>
        <v/>
      </c>
      <c r="J157" s="197"/>
      <c r="K157" s="198" t="str">
        <f t="shared" si="40"/>
        <v/>
      </c>
      <c r="L157" s="197"/>
      <c r="M157" s="198" t="str">
        <f t="shared" si="41"/>
        <v/>
      </c>
      <c r="N157" s="197"/>
      <c r="O157" s="198" t="str">
        <f t="shared" si="42"/>
        <v/>
      </c>
      <c r="P157" s="197">
        <v>13497</v>
      </c>
      <c r="Q157" s="198">
        <f t="shared" si="43"/>
        <v>4529.1946308724837</v>
      </c>
      <c r="R157" s="197">
        <v>1957</v>
      </c>
      <c r="S157" s="198">
        <f t="shared" si="44"/>
        <v>656.71140939597319</v>
      </c>
      <c r="T157" s="197"/>
      <c r="U157" s="198" t="str">
        <f t="shared" si="45"/>
        <v/>
      </c>
      <c r="V157" s="197"/>
      <c r="W157" s="198" t="str">
        <f t="shared" si="46"/>
        <v/>
      </c>
      <c r="X157" s="197">
        <v>81</v>
      </c>
      <c r="Y157" s="198">
        <f t="shared" si="47"/>
        <v>27.181208053691275</v>
      </c>
      <c r="Z157" s="197"/>
      <c r="AA157" s="198" t="str">
        <f t="shared" si="48"/>
        <v/>
      </c>
      <c r="AB157" s="197"/>
      <c r="AC157" s="198" t="str">
        <f t="shared" si="49"/>
        <v/>
      </c>
      <c r="AD157" s="197"/>
      <c r="AE157" s="198" t="str">
        <f t="shared" si="50"/>
        <v/>
      </c>
      <c r="AF157" s="197"/>
      <c r="AG157" s="198" t="str">
        <f t="shared" si="51"/>
        <v/>
      </c>
      <c r="AH157" s="197"/>
      <c r="AI157" s="198" t="str">
        <f t="shared" si="52"/>
        <v/>
      </c>
      <c r="AJ157" s="197">
        <v>144</v>
      </c>
      <c r="AK157" s="198">
        <f t="shared" si="53"/>
        <v>48.322147651006709</v>
      </c>
      <c r="AL157" s="197"/>
      <c r="AM157" s="198" t="str">
        <f t="shared" si="54"/>
        <v/>
      </c>
      <c r="AN157" s="197"/>
      <c r="AO157" s="198" t="str">
        <f t="shared" si="55"/>
        <v/>
      </c>
      <c r="AP157" s="197">
        <v>15679</v>
      </c>
      <c r="AQ157" s="198">
        <f t="shared" si="56"/>
        <v>5261.4093959731545</v>
      </c>
    </row>
    <row r="158" spans="1:43">
      <c r="A158" s="200"/>
      <c r="B158">
        <v>0.14000000000000001</v>
      </c>
      <c r="D158" s="201">
        <v>643</v>
      </c>
      <c r="E158" s="198">
        <f t="shared" si="38"/>
        <v>4592.8571428571422</v>
      </c>
      <c r="F158" s="201"/>
      <c r="G158" s="198" t="str">
        <f t="shared" si="38"/>
        <v/>
      </c>
      <c r="H158" s="201"/>
      <c r="I158" s="198" t="str">
        <f t="shared" si="39"/>
        <v/>
      </c>
      <c r="J158" s="201"/>
      <c r="K158" s="198" t="str">
        <f t="shared" si="40"/>
        <v/>
      </c>
      <c r="L158" s="201"/>
      <c r="M158" s="198" t="str">
        <f t="shared" si="41"/>
        <v/>
      </c>
      <c r="N158" s="201"/>
      <c r="O158" s="198" t="str">
        <f t="shared" si="42"/>
        <v/>
      </c>
      <c r="P158" s="201">
        <v>455</v>
      </c>
      <c r="Q158" s="198">
        <f t="shared" si="43"/>
        <v>3249.9999999999995</v>
      </c>
      <c r="R158" s="201">
        <v>30</v>
      </c>
      <c r="S158" s="198">
        <f t="shared" si="44"/>
        <v>214.28571428571428</v>
      </c>
      <c r="T158" s="201"/>
      <c r="U158" s="198" t="str">
        <f t="shared" si="45"/>
        <v/>
      </c>
      <c r="V158" s="201"/>
      <c r="W158" s="198" t="str">
        <f t="shared" si="46"/>
        <v/>
      </c>
      <c r="X158" s="201"/>
      <c r="Y158" s="198" t="str">
        <f t="shared" si="47"/>
        <v/>
      </c>
      <c r="Z158" s="201"/>
      <c r="AA158" s="198" t="str">
        <f t="shared" si="48"/>
        <v/>
      </c>
      <c r="AB158" s="201"/>
      <c r="AC158" s="198" t="str">
        <f t="shared" si="49"/>
        <v/>
      </c>
      <c r="AD158" s="201"/>
      <c r="AE158" s="198" t="str">
        <f t="shared" si="50"/>
        <v/>
      </c>
      <c r="AF158" s="201"/>
      <c r="AG158" s="198" t="str">
        <f t="shared" si="51"/>
        <v/>
      </c>
      <c r="AH158" s="201"/>
      <c r="AI158" s="198" t="str">
        <f t="shared" si="52"/>
        <v/>
      </c>
      <c r="AJ158" s="201">
        <v>13</v>
      </c>
      <c r="AK158" s="198">
        <f t="shared" si="53"/>
        <v>92.857142857142847</v>
      </c>
      <c r="AL158" s="201"/>
      <c r="AM158" s="198" t="str">
        <f t="shared" si="54"/>
        <v/>
      </c>
      <c r="AN158" s="201"/>
      <c r="AO158" s="198" t="str">
        <f t="shared" si="55"/>
        <v/>
      </c>
      <c r="AP158" s="201">
        <v>498</v>
      </c>
      <c r="AQ158" s="198">
        <f t="shared" si="56"/>
        <v>3557.1428571428569</v>
      </c>
    </row>
    <row r="159" spans="1:43">
      <c r="A159" s="200"/>
      <c r="B159">
        <v>0.14000000000000001</v>
      </c>
      <c r="D159" s="201">
        <v>643</v>
      </c>
      <c r="E159" s="198">
        <f t="shared" si="38"/>
        <v>4592.8571428571422</v>
      </c>
      <c r="F159" s="201"/>
      <c r="G159" s="198" t="str">
        <f t="shared" si="38"/>
        <v/>
      </c>
      <c r="H159" s="201"/>
      <c r="I159" s="198" t="str">
        <f t="shared" si="39"/>
        <v/>
      </c>
      <c r="J159" s="201"/>
      <c r="K159" s="198" t="str">
        <f t="shared" si="40"/>
        <v/>
      </c>
      <c r="L159" s="201"/>
      <c r="M159" s="198" t="str">
        <f t="shared" si="41"/>
        <v/>
      </c>
      <c r="N159" s="201"/>
      <c r="O159" s="198" t="str">
        <f t="shared" si="42"/>
        <v/>
      </c>
      <c r="P159" s="201">
        <v>297</v>
      </c>
      <c r="Q159" s="198">
        <f t="shared" si="43"/>
        <v>2121.4285714285711</v>
      </c>
      <c r="R159" s="201">
        <v>29</v>
      </c>
      <c r="S159" s="198">
        <f t="shared" si="44"/>
        <v>207.14285714285711</v>
      </c>
      <c r="T159" s="201"/>
      <c r="U159" s="198" t="str">
        <f t="shared" si="45"/>
        <v/>
      </c>
      <c r="V159" s="201"/>
      <c r="W159" s="198" t="str">
        <f t="shared" si="46"/>
        <v/>
      </c>
      <c r="X159" s="201"/>
      <c r="Y159" s="198" t="str">
        <f t="shared" si="47"/>
        <v/>
      </c>
      <c r="Z159" s="201"/>
      <c r="AA159" s="198" t="str">
        <f t="shared" si="48"/>
        <v/>
      </c>
      <c r="AB159" s="201"/>
      <c r="AC159" s="198" t="str">
        <f t="shared" si="49"/>
        <v/>
      </c>
      <c r="AD159" s="201"/>
      <c r="AE159" s="198" t="str">
        <f t="shared" si="50"/>
        <v/>
      </c>
      <c r="AF159" s="201"/>
      <c r="AG159" s="198" t="str">
        <f t="shared" si="51"/>
        <v/>
      </c>
      <c r="AH159" s="201"/>
      <c r="AI159" s="198" t="str">
        <f t="shared" si="52"/>
        <v/>
      </c>
      <c r="AJ159" s="201">
        <v>13</v>
      </c>
      <c r="AK159" s="198">
        <f t="shared" si="53"/>
        <v>92.857142857142847</v>
      </c>
      <c r="AL159" s="201"/>
      <c r="AM159" s="198" t="str">
        <f t="shared" si="54"/>
        <v/>
      </c>
      <c r="AN159" s="201"/>
      <c r="AO159" s="198" t="str">
        <f t="shared" si="55"/>
        <v/>
      </c>
      <c r="AP159" s="201">
        <v>339</v>
      </c>
      <c r="AQ159" s="198">
        <f t="shared" si="56"/>
        <v>2421.4285714285711</v>
      </c>
    </row>
    <row r="160" spans="1:43">
      <c r="A160" s="200"/>
      <c r="B160">
        <v>9.2100000000000009</v>
      </c>
      <c r="D160" s="201">
        <v>21600</v>
      </c>
      <c r="E160" s="198">
        <f t="shared" si="38"/>
        <v>2345.2768729641693</v>
      </c>
      <c r="F160" s="201"/>
      <c r="G160" s="198" t="str">
        <f t="shared" si="38"/>
        <v/>
      </c>
      <c r="H160" s="201"/>
      <c r="I160" s="198" t="str">
        <f t="shared" si="39"/>
        <v/>
      </c>
      <c r="J160" s="201"/>
      <c r="K160" s="198" t="str">
        <f t="shared" si="40"/>
        <v/>
      </c>
      <c r="L160" s="201"/>
      <c r="M160" s="198" t="str">
        <f t="shared" si="41"/>
        <v/>
      </c>
      <c r="N160" s="201"/>
      <c r="O160" s="198" t="str">
        <f t="shared" si="42"/>
        <v/>
      </c>
      <c r="P160" s="201">
        <v>19264</v>
      </c>
      <c r="Q160" s="198">
        <f t="shared" si="43"/>
        <v>2091.6395222584147</v>
      </c>
      <c r="R160" s="201">
        <v>1258</v>
      </c>
      <c r="S160" s="198">
        <f t="shared" si="44"/>
        <v>136.59066232356133</v>
      </c>
      <c r="T160" s="201"/>
      <c r="U160" s="198" t="str">
        <f t="shared" si="45"/>
        <v/>
      </c>
      <c r="V160" s="201"/>
      <c r="W160" s="198" t="str">
        <f t="shared" si="46"/>
        <v/>
      </c>
      <c r="X160" s="201">
        <v>162</v>
      </c>
      <c r="Y160" s="198">
        <f t="shared" si="47"/>
        <v>17.589576547231268</v>
      </c>
      <c r="Z160" s="201"/>
      <c r="AA160" s="198" t="str">
        <f t="shared" si="48"/>
        <v/>
      </c>
      <c r="AB160" s="201"/>
      <c r="AC160" s="198" t="str">
        <f t="shared" si="49"/>
        <v/>
      </c>
      <c r="AD160" s="201"/>
      <c r="AE160" s="198" t="str">
        <f t="shared" si="50"/>
        <v/>
      </c>
      <c r="AF160" s="201"/>
      <c r="AG160" s="198" t="str">
        <f t="shared" si="51"/>
        <v/>
      </c>
      <c r="AH160" s="201"/>
      <c r="AI160" s="198" t="str">
        <f t="shared" si="52"/>
        <v/>
      </c>
      <c r="AJ160" s="201">
        <v>431</v>
      </c>
      <c r="AK160" s="198">
        <f t="shared" si="53"/>
        <v>46.796959826275781</v>
      </c>
      <c r="AL160" s="201"/>
      <c r="AM160" s="198" t="str">
        <f t="shared" si="54"/>
        <v/>
      </c>
      <c r="AN160" s="201"/>
      <c r="AO160" s="198" t="str">
        <f t="shared" si="55"/>
        <v/>
      </c>
      <c r="AP160" s="201">
        <v>21115</v>
      </c>
      <c r="AQ160" s="198">
        <f t="shared" si="56"/>
        <v>2292.6167209554828</v>
      </c>
    </row>
    <row r="161" spans="1:43">
      <c r="A161" s="190" t="s">
        <v>270</v>
      </c>
      <c r="B161" s="196"/>
      <c r="D161" s="197"/>
      <c r="E161" s="198" t="str">
        <f t="shared" si="38"/>
        <v/>
      </c>
      <c r="F161" s="197"/>
      <c r="G161" s="198" t="str">
        <f t="shared" si="38"/>
        <v/>
      </c>
      <c r="H161" s="197"/>
      <c r="I161" s="198" t="str">
        <f t="shared" si="39"/>
        <v/>
      </c>
      <c r="J161" s="197">
        <v>244854</v>
      </c>
      <c r="K161" s="198" t="str">
        <f t="shared" si="40"/>
        <v/>
      </c>
      <c r="L161" s="197"/>
      <c r="M161" s="198" t="str">
        <f t="shared" si="41"/>
        <v/>
      </c>
      <c r="N161" s="197"/>
      <c r="O161" s="198" t="str">
        <f t="shared" si="42"/>
        <v/>
      </c>
      <c r="P161" s="197"/>
      <c r="Q161" s="198" t="str">
        <f t="shared" si="43"/>
        <v/>
      </c>
      <c r="R161" s="197"/>
      <c r="S161" s="198" t="str">
        <f t="shared" si="44"/>
        <v/>
      </c>
      <c r="T161" s="197"/>
      <c r="U161" s="198" t="str">
        <f t="shared" si="45"/>
        <v/>
      </c>
      <c r="V161" s="197"/>
      <c r="W161" s="198" t="str">
        <f t="shared" si="46"/>
        <v/>
      </c>
      <c r="X161" s="197"/>
      <c r="Y161" s="198" t="str">
        <f t="shared" si="47"/>
        <v/>
      </c>
      <c r="Z161" s="197"/>
      <c r="AA161" s="198" t="str">
        <f t="shared" si="48"/>
        <v/>
      </c>
      <c r="AB161" s="197"/>
      <c r="AC161" s="198" t="str">
        <f t="shared" si="49"/>
        <v/>
      </c>
      <c r="AD161" s="197"/>
      <c r="AE161" s="198" t="str">
        <f t="shared" si="50"/>
        <v/>
      </c>
      <c r="AF161" s="197"/>
      <c r="AG161" s="198" t="str">
        <f t="shared" si="51"/>
        <v/>
      </c>
      <c r="AH161" s="197"/>
      <c r="AI161" s="198" t="str">
        <f t="shared" si="52"/>
        <v/>
      </c>
      <c r="AJ161" s="197">
        <v>168</v>
      </c>
      <c r="AK161" s="198" t="str">
        <f t="shared" si="53"/>
        <v/>
      </c>
      <c r="AL161" s="197"/>
      <c r="AM161" s="198" t="str">
        <f t="shared" si="54"/>
        <v/>
      </c>
      <c r="AN161" s="197"/>
      <c r="AO161" s="198" t="str">
        <f t="shared" si="55"/>
        <v/>
      </c>
      <c r="AP161" s="197">
        <v>245022</v>
      </c>
      <c r="AQ161" s="198" t="str">
        <f t="shared" si="56"/>
        <v/>
      </c>
    </row>
    <row r="162" spans="1:43">
      <c r="A162" s="200"/>
      <c r="D162" s="201"/>
      <c r="E162" s="198" t="str">
        <f t="shared" si="38"/>
        <v/>
      </c>
      <c r="F162" s="201"/>
      <c r="G162" s="198" t="str">
        <f t="shared" si="38"/>
        <v/>
      </c>
      <c r="H162" s="201"/>
      <c r="I162" s="198" t="str">
        <f t="shared" si="39"/>
        <v/>
      </c>
      <c r="J162" s="201">
        <v>27724</v>
      </c>
      <c r="K162" s="198" t="str">
        <f t="shared" si="40"/>
        <v/>
      </c>
      <c r="L162" s="201"/>
      <c r="M162" s="198" t="str">
        <f t="shared" si="41"/>
        <v/>
      </c>
      <c r="N162" s="201"/>
      <c r="O162" s="198" t="str">
        <f t="shared" si="42"/>
        <v/>
      </c>
      <c r="P162" s="201">
        <v>4760</v>
      </c>
      <c r="Q162" s="198" t="str">
        <f t="shared" si="43"/>
        <v/>
      </c>
      <c r="R162" s="201"/>
      <c r="S162" s="198" t="str">
        <f t="shared" si="44"/>
        <v/>
      </c>
      <c r="T162" s="201"/>
      <c r="U162" s="198" t="str">
        <f t="shared" si="45"/>
        <v/>
      </c>
      <c r="V162" s="201"/>
      <c r="W162" s="198" t="str">
        <f t="shared" si="46"/>
        <v/>
      </c>
      <c r="X162" s="201"/>
      <c r="Y162" s="198" t="str">
        <f t="shared" si="47"/>
        <v/>
      </c>
      <c r="Z162" s="201"/>
      <c r="AA162" s="198" t="str">
        <f t="shared" si="48"/>
        <v/>
      </c>
      <c r="AB162" s="201"/>
      <c r="AC162" s="198" t="str">
        <f t="shared" si="49"/>
        <v/>
      </c>
      <c r="AD162" s="201"/>
      <c r="AE162" s="198" t="str">
        <f t="shared" si="50"/>
        <v/>
      </c>
      <c r="AF162" s="201"/>
      <c r="AG162" s="198" t="str">
        <f t="shared" si="51"/>
        <v/>
      </c>
      <c r="AH162" s="201"/>
      <c r="AI162" s="198" t="str">
        <f t="shared" si="52"/>
        <v/>
      </c>
      <c r="AJ162" s="201"/>
      <c r="AK162" s="198" t="str">
        <f t="shared" si="53"/>
        <v/>
      </c>
      <c r="AL162" s="201"/>
      <c r="AM162" s="198" t="str">
        <f t="shared" si="54"/>
        <v/>
      </c>
      <c r="AN162" s="201"/>
      <c r="AO162" s="198" t="str">
        <f t="shared" si="55"/>
        <v/>
      </c>
      <c r="AP162" s="201">
        <v>32484</v>
      </c>
      <c r="AQ162" s="198" t="str">
        <f t="shared" si="56"/>
        <v/>
      </c>
    </row>
    <row r="163" spans="1:43">
      <c r="A163" s="190" t="s">
        <v>271</v>
      </c>
      <c r="B163" s="196">
        <v>19.78</v>
      </c>
      <c r="D163" s="197">
        <v>265725</v>
      </c>
      <c r="E163" s="198">
        <f t="shared" si="38"/>
        <v>13434.024266936298</v>
      </c>
      <c r="F163" s="197">
        <v>1723</v>
      </c>
      <c r="G163" s="198">
        <f t="shared" si="38"/>
        <v>87.108190091001006</v>
      </c>
      <c r="H163" s="197"/>
      <c r="I163" s="198" t="str">
        <f t="shared" si="39"/>
        <v/>
      </c>
      <c r="J163" s="197"/>
      <c r="K163" s="198" t="str">
        <f t="shared" si="40"/>
        <v/>
      </c>
      <c r="L163" s="197"/>
      <c r="M163" s="198" t="str">
        <f t="shared" si="41"/>
        <v/>
      </c>
      <c r="N163" s="197">
        <v>3951</v>
      </c>
      <c r="O163" s="198">
        <f t="shared" si="42"/>
        <v>199.74721941354903</v>
      </c>
      <c r="P163" s="197">
        <v>4774</v>
      </c>
      <c r="Q163" s="198">
        <f t="shared" si="43"/>
        <v>241.35490394337714</v>
      </c>
      <c r="R163" s="197">
        <v>4859</v>
      </c>
      <c r="S163" s="198">
        <f t="shared" si="44"/>
        <v>245.65217391304347</v>
      </c>
      <c r="T163" s="197"/>
      <c r="U163" s="198" t="str">
        <f t="shared" si="45"/>
        <v/>
      </c>
      <c r="V163" s="197">
        <v>49635</v>
      </c>
      <c r="W163" s="198">
        <f t="shared" si="46"/>
        <v>2509.3528816986855</v>
      </c>
      <c r="X163" s="197">
        <v>44640</v>
      </c>
      <c r="Y163" s="198">
        <f t="shared" si="47"/>
        <v>2256.825075834176</v>
      </c>
      <c r="Z163" s="197">
        <v>6701</v>
      </c>
      <c r="AA163" s="198">
        <f t="shared" si="48"/>
        <v>338.77654196157732</v>
      </c>
      <c r="AB163" s="197"/>
      <c r="AC163" s="198" t="str">
        <f t="shared" si="49"/>
        <v/>
      </c>
      <c r="AD163" s="197"/>
      <c r="AE163" s="198" t="str">
        <f t="shared" si="50"/>
        <v/>
      </c>
      <c r="AF163" s="197"/>
      <c r="AG163" s="198" t="str">
        <f t="shared" si="51"/>
        <v/>
      </c>
      <c r="AH163" s="197"/>
      <c r="AI163" s="198" t="str">
        <f t="shared" si="52"/>
        <v/>
      </c>
      <c r="AJ163" s="197">
        <v>20829</v>
      </c>
      <c r="AK163" s="198">
        <f t="shared" si="53"/>
        <v>1053.0333670374114</v>
      </c>
      <c r="AL163" s="197"/>
      <c r="AM163" s="198" t="str">
        <f t="shared" si="54"/>
        <v/>
      </c>
      <c r="AN163" s="197">
        <v>57809</v>
      </c>
      <c r="AO163" s="198">
        <f t="shared" si="55"/>
        <v>2922.5985844287156</v>
      </c>
      <c r="AP163" s="197">
        <v>194921</v>
      </c>
      <c r="AQ163" s="198">
        <f t="shared" si="56"/>
        <v>9854.4489383215368</v>
      </c>
    </row>
    <row r="164" spans="1:43">
      <c r="A164" s="200"/>
      <c r="B164">
        <v>1.55</v>
      </c>
      <c r="D164" s="201">
        <v>58054</v>
      </c>
      <c r="E164" s="198">
        <f t="shared" si="38"/>
        <v>37454.193548387098</v>
      </c>
      <c r="F164" s="201"/>
      <c r="G164" s="198" t="str">
        <f t="shared" si="38"/>
        <v/>
      </c>
      <c r="H164" s="201"/>
      <c r="I164" s="198" t="str">
        <f t="shared" si="39"/>
        <v/>
      </c>
      <c r="J164" s="201"/>
      <c r="K164" s="198" t="str">
        <f t="shared" si="40"/>
        <v/>
      </c>
      <c r="L164" s="201"/>
      <c r="M164" s="198" t="str">
        <f t="shared" si="41"/>
        <v/>
      </c>
      <c r="N164" s="201">
        <v>42</v>
      </c>
      <c r="O164" s="198">
        <f t="shared" si="42"/>
        <v>27.096774193548388</v>
      </c>
      <c r="P164" s="201">
        <v>389</v>
      </c>
      <c r="Q164" s="198">
        <f t="shared" si="43"/>
        <v>250.96774193548387</v>
      </c>
      <c r="R164" s="201"/>
      <c r="S164" s="198" t="str">
        <f t="shared" si="44"/>
        <v/>
      </c>
      <c r="T164" s="201"/>
      <c r="U164" s="198" t="str">
        <f t="shared" si="45"/>
        <v/>
      </c>
      <c r="V164" s="201"/>
      <c r="W164" s="198" t="str">
        <f t="shared" si="46"/>
        <v/>
      </c>
      <c r="X164" s="201"/>
      <c r="Y164" s="198" t="str">
        <f t="shared" si="47"/>
        <v/>
      </c>
      <c r="Z164" s="201">
        <v>39</v>
      </c>
      <c r="AA164" s="198">
        <f t="shared" si="48"/>
        <v>25.161290322580644</v>
      </c>
      <c r="AB164" s="201"/>
      <c r="AC164" s="198" t="str">
        <f t="shared" si="49"/>
        <v/>
      </c>
      <c r="AD164" s="201">
        <v>4237</v>
      </c>
      <c r="AE164" s="198">
        <f t="shared" si="50"/>
        <v>2733.5483870967741</v>
      </c>
      <c r="AF164" s="201"/>
      <c r="AG164" s="198" t="str">
        <f t="shared" si="51"/>
        <v/>
      </c>
      <c r="AH164" s="201"/>
      <c r="AI164" s="198" t="str">
        <f t="shared" si="52"/>
        <v/>
      </c>
      <c r="AJ164" s="201">
        <v>5956</v>
      </c>
      <c r="AK164" s="198">
        <f t="shared" si="53"/>
        <v>3842.5806451612902</v>
      </c>
      <c r="AL164" s="201"/>
      <c r="AM164" s="198" t="str">
        <f t="shared" si="54"/>
        <v/>
      </c>
      <c r="AN164" s="201">
        <v>336</v>
      </c>
      <c r="AO164" s="198">
        <f t="shared" si="55"/>
        <v>216.7741935483871</v>
      </c>
      <c r="AP164" s="201">
        <v>10999</v>
      </c>
      <c r="AQ164" s="198">
        <f t="shared" si="56"/>
        <v>7096.1290322580644</v>
      </c>
    </row>
    <row r="165" spans="1:43">
      <c r="A165" s="190" t="s">
        <v>272</v>
      </c>
      <c r="B165" s="196">
        <v>16.079999999999998</v>
      </c>
      <c r="D165" s="197">
        <v>31016</v>
      </c>
      <c r="E165" s="198">
        <f t="shared" si="38"/>
        <v>1928.8557213930351</v>
      </c>
      <c r="F165" s="197">
        <v>440</v>
      </c>
      <c r="G165" s="198">
        <f t="shared" si="38"/>
        <v>27.363184079601993</v>
      </c>
      <c r="H165" s="197"/>
      <c r="I165" s="198" t="str">
        <f t="shared" si="39"/>
        <v/>
      </c>
      <c r="J165" s="197">
        <v>4304</v>
      </c>
      <c r="K165" s="198">
        <f t="shared" si="40"/>
        <v>267.66169154228857</v>
      </c>
      <c r="L165" s="197"/>
      <c r="M165" s="198" t="str">
        <f t="shared" si="41"/>
        <v/>
      </c>
      <c r="N165" s="197">
        <v>3654</v>
      </c>
      <c r="O165" s="198">
        <f t="shared" si="42"/>
        <v>227.23880597014929</v>
      </c>
      <c r="P165" s="197">
        <v>16762</v>
      </c>
      <c r="Q165" s="198">
        <f t="shared" si="43"/>
        <v>1042.4129353233832</v>
      </c>
      <c r="R165" s="197">
        <v>1780</v>
      </c>
      <c r="S165" s="198">
        <f t="shared" si="44"/>
        <v>110.69651741293534</v>
      </c>
      <c r="T165" s="197"/>
      <c r="U165" s="198" t="str">
        <f t="shared" si="45"/>
        <v/>
      </c>
      <c r="V165" s="197"/>
      <c r="W165" s="198" t="str">
        <f t="shared" si="46"/>
        <v/>
      </c>
      <c r="X165" s="197"/>
      <c r="Y165" s="198" t="str">
        <f t="shared" si="47"/>
        <v/>
      </c>
      <c r="Z165" s="197">
        <v>1792</v>
      </c>
      <c r="AA165" s="198">
        <f t="shared" si="48"/>
        <v>111.44278606965176</v>
      </c>
      <c r="AB165" s="197">
        <v>16960</v>
      </c>
      <c r="AC165" s="198">
        <f t="shared" si="49"/>
        <v>1054.7263681592042</v>
      </c>
      <c r="AD165" s="197"/>
      <c r="AE165" s="198" t="str">
        <f t="shared" si="50"/>
        <v/>
      </c>
      <c r="AF165" s="197"/>
      <c r="AG165" s="198" t="str">
        <f t="shared" si="51"/>
        <v/>
      </c>
      <c r="AH165" s="197"/>
      <c r="AI165" s="198" t="str">
        <f t="shared" si="52"/>
        <v/>
      </c>
      <c r="AJ165" s="197">
        <v>9760</v>
      </c>
      <c r="AK165" s="198">
        <f t="shared" si="53"/>
        <v>606.96517412935327</v>
      </c>
      <c r="AL165" s="197"/>
      <c r="AM165" s="198" t="str">
        <f t="shared" si="54"/>
        <v/>
      </c>
      <c r="AN165" s="197"/>
      <c r="AO165" s="198" t="str">
        <f t="shared" si="55"/>
        <v/>
      </c>
      <c r="AP165" s="197">
        <v>55452</v>
      </c>
      <c r="AQ165" s="198">
        <f t="shared" si="56"/>
        <v>3448.5074626865676</v>
      </c>
    </row>
    <row r="166" spans="1:43">
      <c r="A166" s="200"/>
      <c r="D166" s="201"/>
      <c r="E166" s="198" t="str">
        <f t="shared" si="38"/>
        <v/>
      </c>
      <c r="F166" s="201"/>
      <c r="G166" s="198" t="str">
        <f t="shared" si="38"/>
        <v/>
      </c>
      <c r="H166" s="201"/>
      <c r="I166" s="198" t="str">
        <f t="shared" si="39"/>
        <v/>
      </c>
      <c r="J166" s="201">
        <v>235816</v>
      </c>
      <c r="K166" s="198" t="str">
        <f t="shared" si="40"/>
        <v/>
      </c>
      <c r="L166" s="201"/>
      <c r="M166" s="198" t="str">
        <f t="shared" si="41"/>
        <v/>
      </c>
      <c r="N166" s="201"/>
      <c r="O166" s="198" t="str">
        <f t="shared" si="42"/>
        <v/>
      </c>
      <c r="P166" s="201"/>
      <c r="Q166" s="198" t="str">
        <f t="shared" si="43"/>
        <v/>
      </c>
      <c r="R166" s="201"/>
      <c r="S166" s="198" t="str">
        <f t="shared" si="44"/>
        <v/>
      </c>
      <c r="T166" s="201"/>
      <c r="U166" s="198" t="str">
        <f t="shared" si="45"/>
        <v/>
      </c>
      <c r="V166" s="201"/>
      <c r="W166" s="198" t="str">
        <f t="shared" si="46"/>
        <v/>
      </c>
      <c r="X166" s="201"/>
      <c r="Y166" s="198" t="str">
        <f t="shared" si="47"/>
        <v/>
      </c>
      <c r="Z166" s="201"/>
      <c r="AA166" s="198" t="str">
        <f t="shared" si="48"/>
        <v/>
      </c>
      <c r="AB166" s="201"/>
      <c r="AC166" s="198" t="str">
        <f t="shared" si="49"/>
        <v/>
      </c>
      <c r="AD166" s="201"/>
      <c r="AE166" s="198" t="str">
        <f t="shared" si="50"/>
        <v/>
      </c>
      <c r="AF166" s="201"/>
      <c r="AG166" s="198" t="str">
        <f t="shared" si="51"/>
        <v/>
      </c>
      <c r="AH166" s="201"/>
      <c r="AI166" s="198" t="str">
        <f t="shared" si="52"/>
        <v/>
      </c>
      <c r="AJ166" s="201"/>
      <c r="AK166" s="198" t="str">
        <f t="shared" si="53"/>
        <v/>
      </c>
      <c r="AL166" s="201"/>
      <c r="AM166" s="198" t="str">
        <f t="shared" si="54"/>
        <v/>
      </c>
      <c r="AN166" s="201"/>
      <c r="AO166" s="198" t="str">
        <f t="shared" si="55"/>
        <v/>
      </c>
      <c r="AP166" s="201">
        <v>235816</v>
      </c>
      <c r="AQ166" s="198" t="str">
        <f t="shared" si="56"/>
        <v/>
      </c>
    </row>
    <row r="167" spans="1:43">
      <c r="A167" s="200"/>
      <c r="D167" s="201">
        <v>20570</v>
      </c>
      <c r="E167" s="198" t="str">
        <f t="shared" si="38"/>
        <v/>
      </c>
      <c r="F167" s="201"/>
      <c r="G167" s="198" t="str">
        <f t="shared" si="38"/>
        <v/>
      </c>
      <c r="H167" s="201"/>
      <c r="I167" s="198" t="str">
        <f t="shared" si="39"/>
        <v/>
      </c>
      <c r="J167" s="201"/>
      <c r="K167" s="198" t="str">
        <f t="shared" si="40"/>
        <v/>
      </c>
      <c r="L167" s="201"/>
      <c r="M167" s="198" t="str">
        <f t="shared" si="41"/>
        <v/>
      </c>
      <c r="N167" s="201"/>
      <c r="O167" s="198" t="str">
        <f t="shared" si="42"/>
        <v/>
      </c>
      <c r="P167" s="201"/>
      <c r="Q167" s="198" t="str">
        <f t="shared" si="43"/>
        <v/>
      </c>
      <c r="R167" s="201"/>
      <c r="S167" s="198" t="str">
        <f t="shared" si="44"/>
        <v/>
      </c>
      <c r="T167" s="201"/>
      <c r="U167" s="198" t="str">
        <f t="shared" si="45"/>
        <v/>
      </c>
      <c r="V167" s="201"/>
      <c r="W167" s="198" t="str">
        <f t="shared" si="46"/>
        <v/>
      </c>
      <c r="X167" s="201"/>
      <c r="Y167" s="198" t="str">
        <f t="shared" si="47"/>
        <v/>
      </c>
      <c r="Z167" s="201"/>
      <c r="AA167" s="198" t="str">
        <f t="shared" si="48"/>
        <v/>
      </c>
      <c r="AB167" s="201"/>
      <c r="AC167" s="198" t="str">
        <f t="shared" si="49"/>
        <v/>
      </c>
      <c r="AD167" s="201"/>
      <c r="AE167" s="198" t="str">
        <f t="shared" si="50"/>
        <v/>
      </c>
      <c r="AF167" s="201"/>
      <c r="AG167" s="198" t="str">
        <f t="shared" si="51"/>
        <v/>
      </c>
      <c r="AH167" s="201"/>
      <c r="AI167" s="198" t="str">
        <f t="shared" si="52"/>
        <v/>
      </c>
      <c r="AJ167" s="201"/>
      <c r="AK167" s="198" t="str">
        <f t="shared" si="53"/>
        <v/>
      </c>
      <c r="AL167" s="201"/>
      <c r="AM167" s="198" t="str">
        <f t="shared" si="54"/>
        <v/>
      </c>
      <c r="AN167" s="201"/>
      <c r="AO167" s="198" t="str">
        <f t="shared" si="55"/>
        <v/>
      </c>
      <c r="AP167" s="201"/>
      <c r="AQ167" s="198" t="str">
        <f t="shared" si="56"/>
        <v/>
      </c>
    </row>
    <row r="168" spans="1:43">
      <c r="A168" s="200"/>
      <c r="B168">
        <v>0.04</v>
      </c>
      <c r="D168" s="201"/>
      <c r="E168" s="198" t="str">
        <f t="shared" si="38"/>
        <v/>
      </c>
      <c r="F168" s="201"/>
      <c r="G168" s="198" t="str">
        <f t="shared" si="38"/>
        <v/>
      </c>
      <c r="H168" s="201"/>
      <c r="I168" s="198" t="str">
        <f t="shared" si="39"/>
        <v/>
      </c>
      <c r="J168" s="201"/>
      <c r="K168" s="198" t="str">
        <f t="shared" si="40"/>
        <v/>
      </c>
      <c r="L168" s="201"/>
      <c r="M168" s="198" t="str">
        <f t="shared" si="41"/>
        <v/>
      </c>
      <c r="N168" s="201"/>
      <c r="O168" s="198" t="str">
        <f t="shared" si="42"/>
        <v/>
      </c>
      <c r="P168" s="201"/>
      <c r="Q168" s="198" t="str">
        <f t="shared" si="43"/>
        <v/>
      </c>
      <c r="R168" s="201"/>
      <c r="S168" s="198" t="str">
        <f t="shared" si="44"/>
        <v/>
      </c>
      <c r="T168" s="201"/>
      <c r="U168" s="198" t="str">
        <f t="shared" si="45"/>
        <v/>
      </c>
      <c r="V168" s="201"/>
      <c r="W168" s="198" t="str">
        <f t="shared" si="46"/>
        <v/>
      </c>
      <c r="X168" s="201"/>
      <c r="Y168" s="198" t="str">
        <f t="shared" si="47"/>
        <v/>
      </c>
      <c r="Z168" s="201"/>
      <c r="AA168" s="198" t="str">
        <f t="shared" si="48"/>
        <v/>
      </c>
      <c r="AB168" s="201"/>
      <c r="AC168" s="198" t="str">
        <f t="shared" si="49"/>
        <v/>
      </c>
      <c r="AD168" s="201"/>
      <c r="AE168" s="198" t="str">
        <f t="shared" si="50"/>
        <v/>
      </c>
      <c r="AF168" s="201"/>
      <c r="AG168" s="198" t="str">
        <f t="shared" si="51"/>
        <v/>
      </c>
      <c r="AH168" s="201"/>
      <c r="AI168" s="198" t="str">
        <f t="shared" si="52"/>
        <v/>
      </c>
      <c r="AJ168" s="201"/>
      <c r="AK168" s="198" t="str">
        <f t="shared" si="53"/>
        <v/>
      </c>
      <c r="AL168" s="201"/>
      <c r="AM168" s="198" t="str">
        <f t="shared" si="54"/>
        <v/>
      </c>
      <c r="AN168" s="201"/>
      <c r="AO168" s="198" t="str">
        <f t="shared" si="55"/>
        <v/>
      </c>
      <c r="AP168" s="201"/>
      <c r="AQ168" s="198" t="str">
        <f t="shared" si="56"/>
        <v/>
      </c>
    </row>
    <row r="169" spans="1:43">
      <c r="A169" s="200"/>
      <c r="B169">
        <v>1.01</v>
      </c>
      <c r="D169" s="201"/>
      <c r="E169" s="198" t="str">
        <f t="shared" si="38"/>
        <v/>
      </c>
      <c r="F169" s="201"/>
      <c r="G169" s="198" t="str">
        <f t="shared" si="38"/>
        <v/>
      </c>
      <c r="H169" s="201"/>
      <c r="I169" s="198" t="str">
        <f t="shared" si="39"/>
        <v/>
      </c>
      <c r="J169" s="201"/>
      <c r="K169" s="198" t="str">
        <f t="shared" si="40"/>
        <v/>
      </c>
      <c r="L169" s="201"/>
      <c r="M169" s="198" t="str">
        <f t="shared" si="41"/>
        <v/>
      </c>
      <c r="N169" s="201">
        <v>99</v>
      </c>
      <c r="O169" s="198">
        <f t="shared" si="42"/>
        <v>98.019801980198025</v>
      </c>
      <c r="P169" s="201"/>
      <c r="Q169" s="198" t="str">
        <f t="shared" si="43"/>
        <v/>
      </c>
      <c r="R169" s="201"/>
      <c r="S169" s="198" t="str">
        <f t="shared" si="44"/>
        <v/>
      </c>
      <c r="T169" s="201"/>
      <c r="U169" s="198" t="str">
        <f t="shared" si="45"/>
        <v/>
      </c>
      <c r="V169" s="201"/>
      <c r="W169" s="198" t="str">
        <f t="shared" si="46"/>
        <v/>
      </c>
      <c r="X169" s="201"/>
      <c r="Y169" s="198" t="str">
        <f t="shared" si="47"/>
        <v/>
      </c>
      <c r="Z169" s="201"/>
      <c r="AA169" s="198" t="str">
        <f t="shared" si="48"/>
        <v/>
      </c>
      <c r="AB169" s="201"/>
      <c r="AC169" s="198" t="str">
        <f t="shared" si="49"/>
        <v/>
      </c>
      <c r="AD169" s="201"/>
      <c r="AE169" s="198" t="str">
        <f t="shared" si="50"/>
        <v/>
      </c>
      <c r="AF169" s="201"/>
      <c r="AG169" s="198" t="str">
        <f t="shared" si="51"/>
        <v/>
      </c>
      <c r="AH169" s="201"/>
      <c r="AI169" s="198" t="str">
        <f t="shared" si="52"/>
        <v/>
      </c>
      <c r="AJ169" s="201"/>
      <c r="AK169" s="198" t="str">
        <f t="shared" si="53"/>
        <v/>
      </c>
      <c r="AL169" s="201"/>
      <c r="AM169" s="198" t="str">
        <f t="shared" si="54"/>
        <v/>
      </c>
      <c r="AN169" s="201"/>
      <c r="AO169" s="198" t="str">
        <f t="shared" si="55"/>
        <v/>
      </c>
      <c r="AP169" s="201">
        <v>99</v>
      </c>
      <c r="AQ169" s="198">
        <f t="shared" si="56"/>
        <v>98.019801980198025</v>
      </c>
    </row>
    <row r="170" spans="1:43">
      <c r="A170" s="190" t="s">
        <v>273</v>
      </c>
      <c r="B170" s="196">
        <v>0.12</v>
      </c>
      <c r="D170" s="197">
        <v>516</v>
      </c>
      <c r="E170" s="198">
        <f t="shared" si="38"/>
        <v>4300</v>
      </c>
      <c r="F170" s="197"/>
      <c r="G170" s="198" t="str">
        <f t="shared" si="38"/>
        <v/>
      </c>
      <c r="H170" s="197"/>
      <c r="I170" s="198" t="str">
        <f t="shared" si="39"/>
        <v/>
      </c>
      <c r="J170" s="197"/>
      <c r="K170" s="198" t="str">
        <f t="shared" si="40"/>
        <v/>
      </c>
      <c r="L170" s="197"/>
      <c r="M170" s="198" t="str">
        <f t="shared" si="41"/>
        <v/>
      </c>
      <c r="N170" s="197"/>
      <c r="O170" s="198" t="str">
        <f t="shared" si="42"/>
        <v/>
      </c>
      <c r="P170" s="197">
        <v>706</v>
      </c>
      <c r="Q170" s="198">
        <f t="shared" si="43"/>
        <v>5883.3333333333339</v>
      </c>
      <c r="R170" s="197"/>
      <c r="S170" s="198" t="str">
        <f t="shared" si="44"/>
        <v/>
      </c>
      <c r="T170" s="197"/>
      <c r="U170" s="198" t="str">
        <f t="shared" si="45"/>
        <v/>
      </c>
      <c r="V170" s="197"/>
      <c r="W170" s="198" t="str">
        <f t="shared" si="46"/>
        <v/>
      </c>
      <c r="X170" s="197"/>
      <c r="Y170" s="198" t="str">
        <f t="shared" si="47"/>
        <v/>
      </c>
      <c r="Z170" s="197"/>
      <c r="AA170" s="198" t="str">
        <f t="shared" si="48"/>
        <v/>
      </c>
      <c r="AB170" s="197"/>
      <c r="AC170" s="198" t="str">
        <f t="shared" si="49"/>
        <v/>
      </c>
      <c r="AD170" s="197"/>
      <c r="AE170" s="198" t="str">
        <f t="shared" si="50"/>
        <v/>
      </c>
      <c r="AF170" s="197"/>
      <c r="AG170" s="198" t="str">
        <f t="shared" si="51"/>
        <v/>
      </c>
      <c r="AH170" s="197"/>
      <c r="AI170" s="198" t="str">
        <f t="shared" si="52"/>
        <v/>
      </c>
      <c r="AJ170" s="197">
        <v>3</v>
      </c>
      <c r="AK170" s="198">
        <f t="shared" si="53"/>
        <v>25</v>
      </c>
      <c r="AL170" s="197"/>
      <c r="AM170" s="198" t="str">
        <f t="shared" si="54"/>
        <v/>
      </c>
      <c r="AN170" s="197"/>
      <c r="AO170" s="198" t="str">
        <f t="shared" si="55"/>
        <v/>
      </c>
      <c r="AP170" s="197">
        <v>709</v>
      </c>
      <c r="AQ170" s="198">
        <f t="shared" si="56"/>
        <v>5908.3333333333339</v>
      </c>
    </row>
    <row r="171" spans="1:43">
      <c r="A171" s="200"/>
      <c r="B171">
        <v>33.9</v>
      </c>
      <c r="D171" s="201">
        <v>189820</v>
      </c>
      <c r="E171" s="198">
        <f t="shared" si="38"/>
        <v>5599.4100294985255</v>
      </c>
      <c r="F171" s="201"/>
      <c r="G171" s="198" t="str">
        <f t="shared" si="38"/>
        <v/>
      </c>
      <c r="H171" s="201"/>
      <c r="I171" s="198" t="str">
        <f t="shared" si="39"/>
        <v/>
      </c>
      <c r="J171" s="201"/>
      <c r="K171" s="198" t="str">
        <f t="shared" si="40"/>
        <v/>
      </c>
      <c r="L171" s="201"/>
      <c r="M171" s="198" t="str">
        <f t="shared" si="41"/>
        <v/>
      </c>
      <c r="N171" s="201">
        <v>10466</v>
      </c>
      <c r="O171" s="198">
        <f t="shared" si="42"/>
        <v>308.73156342182892</v>
      </c>
      <c r="P171" s="201">
        <v>57444</v>
      </c>
      <c r="Q171" s="198">
        <f t="shared" si="43"/>
        <v>1694.5132743362833</v>
      </c>
      <c r="R171" s="201"/>
      <c r="S171" s="198" t="str">
        <f t="shared" si="44"/>
        <v/>
      </c>
      <c r="T171" s="201"/>
      <c r="U171" s="198" t="str">
        <f t="shared" si="45"/>
        <v/>
      </c>
      <c r="V171" s="201">
        <v>902</v>
      </c>
      <c r="W171" s="198">
        <f t="shared" si="46"/>
        <v>26.607669616519175</v>
      </c>
      <c r="X171" s="201"/>
      <c r="Y171" s="198" t="str">
        <f t="shared" si="47"/>
        <v/>
      </c>
      <c r="Z171" s="201"/>
      <c r="AA171" s="198" t="str">
        <f t="shared" si="48"/>
        <v/>
      </c>
      <c r="AB171" s="201"/>
      <c r="AC171" s="198" t="str">
        <f t="shared" si="49"/>
        <v/>
      </c>
      <c r="AD171" s="201">
        <v>123880</v>
      </c>
      <c r="AE171" s="198">
        <f t="shared" si="50"/>
        <v>3654.2772861356934</v>
      </c>
      <c r="AF171" s="201"/>
      <c r="AG171" s="198" t="str">
        <f t="shared" si="51"/>
        <v/>
      </c>
      <c r="AH171" s="201"/>
      <c r="AI171" s="198" t="str">
        <f t="shared" si="52"/>
        <v/>
      </c>
      <c r="AJ171" s="201">
        <v>69084</v>
      </c>
      <c r="AK171" s="198">
        <f t="shared" si="53"/>
        <v>2037.8761061946902</v>
      </c>
      <c r="AL171" s="201"/>
      <c r="AM171" s="198" t="str">
        <f t="shared" si="54"/>
        <v/>
      </c>
      <c r="AN171" s="201"/>
      <c r="AO171" s="198" t="str">
        <f t="shared" si="55"/>
        <v/>
      </c>
      <c r="AP171" s="201">
        <v>261776</v>
      </c>
      <c r="AQ171" s="198">
        <f t="shared" si="56"/>
        <v>7722.0058997050155</v>
      </c>
    </row>
    <row r="172" spans="1:43">
      <c r="A172" s="200"/>
      <c r="B172">
        <v>3.29</v>
      </c>
      <c r="D172" s="201">
        <v>13930</v>
      </c>
      <c r="E172" s="198">
        <f t="shared" si="38"/>
        <v>4234.0425531914889</v>
      </c>
      <c r="F172" s="201"/>
      <c r="G172" s="198" t="str">
        <f t="shared" si="38"/>
        <v/>
      </c>
      <c r="H172" s="201"/>
      <c r="I172" s="198" t="str">
        <f t="shared" si="39"/>
        <v/>
      </c>
      <c r="J172" s="201"/>
      <c r="K172" s="198" t="str">
        <f t="shared" si="40"/>
        <v/>
      </c>
      <c r="L172" s="201"/>
      <c r="M172" s="198" t="str">
        <f t="shared" si="41"/>
        <v/>
      </c>
      <c r="N172" s="201"/>
      <c r="O172" s="198" t="str">
        <f t="shared" si="42"/>
        <v/>
      </c>
      <c r="P172" s="201">
        <v>19050</v>
      </c>
      <c r="Q172" s="198">
        <f t="shared" si="43"/>
        <v>5790.2735562310027</v>
      </c>
      <c r="R172" s="201"/>
      <c r="S172" s="198" t="str">
        <f t="shared" si="44"/>
        <v/>
      </c>
      <c r="T172" s="201"/>
      <c r="U172" s="198" t="str">
        <f t="shared" si="45"/>
        <v/>
      </c>
      <c r="V172" s="201"/>
      <c r="W172" s="198" t="str">
        <f t="shared" si="46"/>
        <v/>
      </c>
      <c r="X172" s="201"/>
      <c r="Y172" s="198" t="str">
        <f t="shared" si="47"/>
        <v/>
      </c>
      <c r="Z172" s="201"/>
      <c r="AA172" s="198" t="str">
        <f t="shared" si="48"/>
        <v/>
      </c>
      <c r="AB172" s="201"/>
      <c r="AC172" s="198" t="str">
        <f t="shared" si="49"/>
        <v/>
      </c>
      <c r="AD172" s="201"/>
      <c r="AE172" s="198" t="str">
        <f t="shared" si="50"/>
        <v/>
      </c>
      <c r="AF172" s="201"/>
      <c r="AG172" s="198" t="str">
        <f t="shared" si="51"/>
        <v/>
      </c>
      <c r="AH172" s="201"/>
      <c r="AI172" s="198" t="str">
        <f t="shared" si="52"/>
        <v/>
      </c>
      <c r="AJ172" s="201">
        <v>1112</v>
      </c>
      <c r="AK172" s="198">
        <f t="shared" si="53"/>
        <v>337.99392097264439</v>
      </c>
      <c r="AL172" s="201"/>
      <c r="AM172" s="198" t="str">
        <f t="shared" si="54"/>
        <v/>
      </c>
      <c r="AN172" s="201"/>
      <c r="AO172" s="198" t="str">
        <f t="shared" si="55"/>
        <v/>
      </c>
      <c r="AP172" s="201">
        <v>20162</v>
      </c>
      <c r="AQ172" s="198">
        <f t="shared" si="56"/>
        <v>6128.2674772036471</v>
      </c>
    </row>
    <row r="173" spans="1:43">
      <c r="A173" s="200"/>
      <c r="B173">
        <v>0.75</v>
      </c>
      <c r="D173" s="201">
        <v>16498</v>
      </c>
      <c r="E173" s="198">
        <f t="shared" si="38"/>
        <v>21997.333333333332</v>
      </c>
      <c r="F173" s="201"/>
      <c r="G173" s="198" t="str">
        <f t="shared" si="38"/>
        <v/>
      </c>
      <c r="H173" s="201"/>
      <c r="I173" s="198" t="str">
        <f t="shared" si="39"/>
        <v/>
      </c>
      <c r="J173" s="201">
        <v>1009</v>
      </c>
      <c r="K173" s="198">
        <f t="shared" si="40"/>
        <v>1345.3333333333333</v>
      </c>
      <c r="L173" s="201"/>
      <c r="M173" s="198" t="str">
        <f t="shared" si="41"/>
        <v/>
      </c>
      <c r="N173" s="201">
        <v>214</v>
      </c>
      <c r="O173" s="198">
        <f t="shared" si="42"/>
        <v>285.33333333333331</v>
      </c>
      <c r="P173" s="201">
        <v>5121</v>
      </c>
      <c r="Q173" s="198">
        <f t="shared" si="43"/>
        <v>6828</v>
      </c>
      <c r="R173" s="201"/>
      <c r="S173" s="198" t="str">
        <f t="shared" si="44"/>
        <v/>
      </c>
      <c r="T173" s="201"/>
      <c r="U173" s="198" t="str">
        <f t="shared" si="45"/>
        <v/>
      </c>
      <c r="V173" s="201"/>
      <c r="W173" s="198" t="str">
        <f t="shared" si="46"/>
        <v/>
      </c>
      <c r="X173" s="201"/>
      <c r="Y173" s="198" t="str">
        <f t="shared" si="47"/>
        <v/>
      </c>
      <c r="Z173" s="201"/>
      <c r="AA173" s="198" t="str">
        <f t="shared" si="48"/>
        <v/>
      </c>
      <c r="AB173" s="201"/>
      <c r="AC173" s="198" t="str">
        <f t="shared" si="49"/>
        <v/>
      </c>
      <c r="AD173" s="201"/>
      <c r="AE173" s="198" t="str">
        <f t="shared" si="50"/>
        <v/>
      </c>
      <c r="AF173" s="201"/>
      <c r="AG173" s="198" t="str">
        <f t="shared" si="51"/>
        <v/>
      </c>
      <c r="AH173" s="201"/>
      <c r="AI173" s="198" t="str">
        <f t="shared" si="52"/>
        <v/>
      </c>
      <c r="AJ173" s="201">
        <v>1529</v>
      </c>
      <c r="AK173" s="198">
        <f t="shared" si="53"/>
        <v>2038.6666666666667</v>
      </c>
      <c r="AL173" s="201"/>
      <c r="AM173" s="198" t="str">
        <f t="shared" si="54"/>
        <v/>
      </c>
      <c r="AN173" s="201"/>
      <c r="AO173" s="198" t="str">
        <f t="shared" si="55"/>
        <v/>
      </c>
      <c r="AP173" s="201">
        <v>7873</v>
      </c>
      <c r="AQ173" s="198">
        <f t="shared" si="56"/>
        <v>10497.333333333334</v>
      </c>
    </row>
    <row r="174" spans="1:43">
      <c r="A174" s="200"/>
      <c r="B174">
        <v>0.94</v>
      </c>
      <c r="D174" s="201">
        <v>904</v>
      </c>
      <c r="E174" s="198">
        <f t="shared" si="38"/>
        <v>961.70212765957456</v>
      </c>
      <c r="F174" s="201"/>
      <c r="G174" s="198" t="str">
        <f t="shared" si="38"/>
        <v/>
      </c>
      <c r="H174" s="201"/>
      <c r="I174" s="198" t="str">
        <f t="shared" si="39"/>
        <v/>
      </c>
      <c r="J174" s="201"/>
      <c r="K174" s="198" t="str">
        <f t="shared" si="40"/>
        <v/>
      </c>
      <c r="L174" s="201"/>
      <c r="M174" s="198" t="str">
        <f t="shared" si="41"/>
        <v/>
      </c>
      <c r="N174" s="201">
        <v>4</v>
      </c>
      <c r="O174" s="198">
        <f t="shared" si="42"/>
        <v>4.2553191489361701</v>
      </c>
      <c r="P174" s="201">
        <v>2444</v>
      </c>
      <c r="Q174" s="198">
        <f t="shared" si="43"/>
        <v>2600</v>
      </c>
      <c r="R174" s="201"/>
      <c r="S174" s="198" t="str">
        <f t="shared" si="44"/>
        <v/>
      </c>
      <c r="T174" s="201"/>
      <c r="U174" s="198" t="str">
        <f t="shared" si="45"/>
        <v/>
      </c>
      <c r="V174" s="201"/>
      <c r="W174" s="198" t="str">
        <f t="shared" si="46"/>
        <v/>
      </c>
      <c r="X174" s="201"/>
      <c r="Y174" s="198" t="str">
        <f t="shared" si="47"/>
        <v/>
      </c>
      <c r="Z174" s="201"/>
      <c r="AA174" s="198" t="str">
        <f t="shared" si="48"/>
        <v/>
      </c>
      <c r="AB174" s="201"/>
      <c r="AC174" s="198" t="str">
        <f t="shared" si="49"/>
        <v/>
      </c>
      <c r="AD174" s="201"/>
      <c r="AE174" s="198" t="str">
        <f t="shared" si="50"/>
        <v/>
      </c>
      <c r="AF174" s="201"/>
      <c r="AG174" s="198" t="str">
        <f t="shared" si="51"/>
        <v/>
      </c>
      <c r="AH174" s="201"/>
      <c r="AI174" s="198" t="str">
        <f t="shared" si="52"/>
        <v/>
      </c>
      <c r="AJ174" s="201">
        <v>555</v>
      </c>
      <c r="AK174" s="198">
        <f t="shared" si="53"/>
        <v>590.42553191489367</v>
      </c>
      <c r="AL174" s="201"/>
      <c r="AM174" s="198" t="str">
        <f t="shared" si="54"/>
        <v/>
      </c>
      <c r="AN174" s="201"/>
      <c r="AO174" s="198" t="str">
        <f t="shared" si="55"/>
        <v/>
      </c>
      <c r="AP174" s="201">
        <v>3003</v>
      </c>
      <c r="AQ174" s="198">
        <f t="shared" si="56"/>
        <v>3194.6808510638298</v>
      </c>
    </row>
    <row r="175" spans="1:43">
      <c r="A175" s="200"/>
      <c r="B175">
        <v>0.49</v>
      </c>
      <c r="D175" s="201">
        <v>465</v>
      </c>
      <c r="E175" s="198">
        <f t="shared" si="38"/>
        <v>948.9795918367347</v>
      </c>
      <c r="F175" s="201"/>
      <c r="G175" s="198" t="str">
        <f t="shared" si="38"/>
        <v/>
      </c>
      <c r="H175" s="201"/>
      <c r="I175" s="198" t="str">
        <f t="shared" si="39"/>
        <v/>
      </c>
      <c r="J175" s="201"/>
      <c r="K175" s="198" t="str">
        <f t="shared" si="40"/>
        <v/>
      </c>
      <c r="L175" s="201"/>
      <c r="M175" s="198" t="str">
        <f t="shared" si="41"/>
        <v/>
      </c>
      <c r="N175" s="201">
        <v>2</v>
      </c>
      <c r="O175" s="198">
        <f t="shared" si="42"/>
        <v>4.0816326530612246</v>
      </c>
      <c r="P175" s="201">
        <v>1255</v>
      </c>
      <c r="Q175" s="198">
        <f t="shared" si="43"/>
        <v>2561.2244897959185</v>
      </c>
      <c r="R175" s="201"/>
      <c r="S175" s="198" t="str">
        <f t="shared" si="44"/>
        <v/>
      </c>
      <c r="T175" s="201"/>
      <c r="U175" s="198" t="str">
        <f t="shared" si="45"/>
        <v/>
      </c>
      <c r="V175" s="201"/>
      <c r="W175" s="198" t="str">
        <f t="shared" si="46"/>
        <v/>
      </c>
      <c r="X175" s="201"/>
      <c r="Y175" s="198" t="str">
        <f t="shared" si="47"/>
        <v/>
      </c>
      <c r="Z175" s="201"/>
      <c r="AA175" s="198" t="str">
        <f t="shared" si="48"/>
        <v/>
      </c>
      <c r="AB175" s="201"/>
      <c r="AC175" s="198" t="str">
        <f t="shared" si="49"/>
        <v/>
      </c>
      <c r="AD175" s="201"/>
      <c r="AE175" s="198" t="str">
        <f t="shared" si="50"/>
        <v/>
      </c>
      <c r="AF175" s="201"/>
      <c r="AG175" s="198" t="str">
        <f t="shared" si="51"/>
        <v/>
      </c>
      <c r="AH175" s="201"/>
      <c r="AI175" s="198" t="str">
        <f t="shared" si="52"/>
        <v/>
      </c>
      <c r="AJ175" s="201">
        <v>285</v>
      </c>
      <c r="AK175" s="198">
        <f t="shared" si="53"/>
        <v>581.63265306122446</v>
      </c>
      <c r="AL175" s="201"/>
      <c r="AM175" s="198" t="str">
        <f t="shared" si="54"/>
        <v/>
      </c>
      <c r="AN175" s="201"/>
      <c r="AO175" s="198" t="str">
        <f t="shared" si="55"/>
        <v/>
      </c>
      <c r="AP175" s="201">
        <v>1542</v>
      </c>
      <c r="AQ175" s="198">
        <f t="shared" si="56"/>
        <v>3146.9387755102043</v>
      </c>
    </row>
    <row r="176" spans="1:43">
      <c r="A176" s="200"/>
      <c r="B176">
        <v>1.5</v>
      </c>
      <c r="D176" s="201">
        <v>1392</v>
      </c>
      <c r="E176" s="198">
        <f t="shared" si="38"/>
        <v>928</v>
      </c>
      <c r="F176" s="201"/>
      <c r="G176" s="198" t="str">
        <f t="shared" si="38"/>
        <v/>
      </c>
      <c r="H176" s="201"/>
      <c r="I176" s="198" t="str">
        <f t="shared" si="39"/>
        <v/>
      </c>
      <c r="J176" s="201"/>
      <c r="K176" s="198" t="str">
        <f t="shared" si="40"/>
        <v/>
      </c>
      <c r="L176" s="201"/>
      <c r="M176" s="198" t="str">
        <f t="shared" si="41"/>
        <v/>
      </c>
      <c r="N176" s="201">
        <v>7</v>
      </c>
      <c r="O176" s="198">
        <f t="shared" si="42"/>
        <v>4.666666666666667</v>
      </c>
      <c r="P176" s="201">
        <v>3762</v>
      </c>
      <c r="Q176" s="198">
        <f t="shared" si="43"/>
        <v>2508</v>
      </c>
      <c r="R176" s="201"/>
      <c r="S176" s="198" t="str">
        <f t="shared" si="44"/>
        <v/>
      </c>
      <c r="T176" s="201"/>
      <c r="U176" s="198" t="str">
        <f t="shared" si="45"/>
        <v/>
      </c>
      <c r="V176" s="201"/>
      <c r="W176" s="198" t="str">
        <f t="shared" si="46"/>
        <v/>
      </c>
      <c r="X176" s="201"/>
      <c r="Y176" s="198" t="str">
        <f t="shared" si="47"/>
        <v/>
      </c>
      <c r="Z176" s="201"/>
      <c r="AA176" s="198" t="str">
        <f t="shared" si="48"/>
        <v/>
      </c>
      <c r="AB176" s="201"/>
      <c r="AC176" s="198" t="str">
        <f t="shared" si="49"/>
        <v/>
      </c>
      <c r="AD176" s="201"/>
      <c r="AE176" s="198" t="str">
        <f t="shared" si="50"/>
        <v/>
      </c>
      <c r="AF176" s="201"/>
      <c r="AG176" s="198" t="str">
        <f t="shared" si="51"/>
        <v/>
      </c>
      <c r="AH176" s="201"/>
      <c r="AI176" s="198" t="str">
        <f t="shared" si="52"/>
        <v/>
      </c>
      <c r="AJ176" s="201">
        <v>854</v>
      </c>
      <c r="AK176" s="198">
        <f t="shared" si="53"/>
        <v>569.33333333333337</v>
      </c>
      <c r="AL176" s="201"/>
      <c r="AM176" s="198" t="str">
        <f t="shared" si="54"/>
        <v/>
      </c>
      <c r="AN176" s="201"/>
      <c r="AO176" s="198" t="str">
        <f t="shared" si="55"/>
        <v/>
      </c>
      <c r="AP176" s="201">
        <v>4623</v>
      </c>
      <c r="AQ176" s="198">
        <f t="shared" si="56"/>
        <v>3082</v>
      </c>
    </row>
    <row r="177" spans="1:43">
      <c r="A177" s="200"/>
      <c r="D177" s="201"/>
      <c r="E177" s="198" t="str">
        <f t="shared" si="38"/>
        <v/>
      </c>
      <c r="F177" s="201"/>
      <c r="G177" s="198" t="str">
        <f t="shared" si="38"/>
        <v/>
      </c>
      <c r="H177" s="201"/>
      <c r="I177" s="198" t="str">
        <f t="shared" si="39"/>
        <v/>
      </c>
      <c r="J177" s="201"/>
      <c r="K177" s="198" t="str">
        <f t="shared" si="40"/>
        <v/>
      </c>
      <c r="L177" s="201"/>
      <c r="M177" s="198" t="str">
        <f t="shared" si="41"/>
        <v/>
      </c>
      <c r="N177" s="201"/>
      <c r="O177" s="198" t="str">
        <f t="shared" si="42"/>
        <v/>
      </c>
      <c r="P177" s="201"/>
      <c r="Q177" s="198" t="str">
        <f t="shared" si="43"/>
        <v/>
      </c>
      <c r="R177" s="201"/>
      <c r="S177" s="198" t="str">
        <f t="shared" si="44"/>
        <v/>
      </c>
      <c r="T177" s="201"/>
      <c r="U177" s="198" t="str">
        <f t="shared" si="45"/>
        <v/>
      </c>
      <c r="V177" s="201"/>
      <c r="W177" s="198" t="str">
        <f t="shared" si="46"/>
        <v/>
      </c>
      <c r="X177" s="201"/>
      <c r="Y177" s="198" t="str">
        <f t="shared" si="47"/>
        <v/>
      </c>
      <c r="Z177" s="201"/>
      <c r="AA177" s="198" t="str">
        <f t="shared" si="48"/>
        <v/>
      </c>
      <c r="AB177" s="201"/>
      <c r="AC177" s="198" t="str">
        <f t="shared" si="49"/>
        <v/>
      </c>
      <c r="AD177" s="201"/>
      <c r="AE177" s="198" t="str">
        <f t="shared" si="50"/>
        <v/>
      </c>
      <c r="AF177" s="201"/>
      <c r="AG177" s="198" t="str">
        <f t="shared" si="51"/>
        <v/>
      </c>
      <c r="AH177" s="201"/>
      <c r="AI177" s="198" t="str">
        <f t="shared" si="52"/>
        <v/>
      </c>
      <c r="AJ177" s="201"/>
      <c r="AK177" s="198" t="str">
        <f t="shared" si="53"/>
        <v/>
      </c>
      <c r="AL177" s="201"/>
      <c r="AM177" s="198" t="str">
        <f t="shared" si="54"/>
        <v/>
      </c>
      <c r="AN177" s="201">
        <v>16498</v>
      </c>
      <c r="AO177" s="198" t="str">
        <f t="shared" si="55"/>
        <v/>
      </c>
      <c r="AP177" s="201">
        <v>16498</v>
      </c>
      <c r="AQ177" s="198" t="str">
        <f t="shared" si="56"/>
        <v/>
      </c>
    </row>
    <row r="178" spans="1:43">
      <c r="A178" s="200"/>
      <c r="B178">
        <v>0.25</v>
      </c>
      <c r="D178" s="201">
        <v>232</v>
      </c>
      <c r="E178" s="198">
        <f t="shared" si="38"/>
        <v>928</v>
      </c>
      <c r="F178" s="201"/>
      <c r="G178" s="198" t="str">
        <f t="shared" si="38"/>
        <v/>
      </c>
      <c r="H178" s="201"/>
      <c r="I178" s="198" t="str">
        <f t="shared" si="39"/>
        <v/>
      </c>
      <c r="J178" s="201"/>
      <c r="K178" s="198" t="str">
        <f t="shared" si="40"/>
        <v/>
      </c>
      <c r="L178" s="201"/>
      <c r="M178" s="198" t="str">
        <f t="shared" si="41"/>
        <v/>
      </c>
      <c r="N178" s="201"/>
      <c r="O178" s="198" t="str">
        <f t="shared" si="42"/>
        <v/>
      </c>
      <c r="P178" s="201">
        <v>625</v>
      </c>
      <c r="Q178" s="198">
        <f t="shared" si="43"/>
        <v>2500</v>
      </c>
      <c r="R178" s="201"/>
      <c r="S178" s="198" t="str">
        <f t="shared" si="44"/>
        <v/>
      </c>
      <c r="T178" s="201"/>
      <c r="U178" s="198" t="str">
        <f t="shared" si="45"/>
        <v/>
      </c>
      <c r="V178" s="201"/>
      <c r="W178" s="198" t="str">
        <f t="shared" si="46"/>
        <v/>
      </c>
      <c r="X178" s="201"/>
      <c r="Y178" s="198" t="str">
        <f t="shared" si="47"/>
        <v/>
      </c>
      <c r="Z178" s="201"/>
      <c r="AA178" s="198" t="str">
        <f t="shared" si="48"/>
        <v/>
      </c>
      <c r="AB178" s="201"/>
      <c r="AC178" s="198" t="str">
        <f t="shared" si="49"/>
        <v/>
      </c>
      <c r="AD178" s="201"/>
      <c r="AE178" s="198" t="str">
        <f t="shared" si="50"/>
        <v/>
      </c>
      <c r="AF178" s="201"/>
      <c r="AG178" s="198" t="str">
        <f t="shared" si="51"/>
        <v/>
      </c>
      <c r="AH178" s="201"/>
      <c r="AI178" s="198" t="str">
        <f t="shared" si="52"/>
        <v/>
      </c>
      <c r="AJ178" s="201">
        <v>142</v>
      </c>
      <c r="AK178" s="198">
        <f t="shared" si="53"/>
        <v>568</v>
      </c>
      <c r="AL178" s="201"/>
      <c r="AM178" s="198" t="str">
        <f t="shared" si="54"/>
        <v/>
      </c>
      <c r="AN178" s="201"/>
      <c r="AO178" s="198" t="str">
        <f t="shared" si="55"/>
        <v/>
      </c>
      <c r="AP178" s="201">
        <v>767</v>
      </c>
      <c r="AQ178" s="198">
        <f t="shared" si="56"/>
        <v>3068</v>
      </c>
    </row>
    <row r="179" spans="1:43">
      <c r="A179" s="190" t="s">
        <v>274</v>
      </c>
      <c r="B179" s="196">
        <v>3.46</v>
      </c>
      <c r="D179" s="197">
        <v>586</v>
      </c>
      <c r="E179" s="198">
        <f t="shared" si="38"/>
        <v>169.364161849711</v>
      </c>
      <c r="F179" s="197"/>
      <c r="G179" s="198" t="str">
        <f t="shared" si="38"/>
        <v/>
      </c>
      <c r="H179" s="197"/>
      <c r="I179" s="198" t="str">
        <f t="shared" si="39"/>
        <v/>
      </c>
      <c r="J179" s="197"/>
      <c r="K179" s="198" t="str">
        <f t="shared" si="40"/>
        <v/>
      </c>
      <c r="L179" s="197"/>
      <c r="M179" s="198" t="str">
        <f t="shared" si="41"/>
        <v/>
      </c>
      <c r="N179" s="197">
        <v>67</v>
      </c>
      <c r="O179" s="198">
        <f t="shared" si="42"/>
        <v>19.364161849710982</v>
      </c>
      <c r="P179" s="197">
        <v>3762</v>
      </c>
      <c r="Q179" s="198">
        <f t="shared" si="43"/>
        <v>1087.2832369942196</v>
      </c>
      <c r="R179" s="197"/>
      <c r="S179" s="198" t="str">
        <f t="shared" si="44"/>
        <v/>
      </c>
      <c r="T179" s="197"/>
      <c r="U179" s="198" t="str">
        <f t="shared" si="45"/>
        <v/>
      </c>
      <c r="V179" s="197">
        <v>46</v>
      </c>
      <c r="W179" s="198">
        <f t="shared" si="46"/>
        <v>13.294797687861271</v>
      </c>
      <c r="X179" s="197"/>
      <c r="Y179" s="198" t="str">
        <f t="shared" si="47"/>
        <v/>
      </c>
      <c r="Z179" s="197"/>
      <c r="AA179" s="198" t="str">
        <f t="shared" si="48"/>
        <v/>
      </c>
      <c r="AB179" s="197"/>
      <c r="AC179" s="198" t="str">
        <f t="shared" si="49"/>
        <v/>
      </c>
      <c r="AD179" s="197"/>
      <c r="AE179" s="198" t="str">
        <f t="shared" si="50"/>
        <v/>
      </c>
      <c r="AF179" s="197"/>
      <c r="AG179" s="198" t="str">
        <f t="shared" si="51"/>
        <v/>
      </c>
      <c r="AH179" s="197"/>
      <c r="AI179" s="198" t="str">
        <f t="shared" si="52"/>
        <v/>
      </c>
      <c r="AJ179" s="197">
        <v>3316</v>
      </c>
      <c r="AK179" s="198">
        <f t="shared" si="53"/>
        <v>958.38150289017346</v>
      </c>
      <c r="AL179" s="197"/>
      <c r="AM179" s="198" t="str">
        <f t="shared" si="54"/>
        <v/>
      </c>
      <c r="AN179" s="197"/>
      <c r="AO179" s="198" t="str">
        <f t="shared" si="55"/>
        <v/>
      </c>
      <c r="AP179" s="197">
        <v>7191</v>
      </c>
      <c r="AQ179" s="198">
        <f t="shared" si="56"/>
        <v>2078.3236994219656</v>
      </c>
    </row>
    <row r="180" spans="1:43">
      <c r="A180" s="200"/>
      <c r="B180">
        <v>2.8</v>
      </c>
      <c r="D180" s="201">
        <v>18003</v>
      </c>
      <c r="E180" s="198">
        <f t="shared" si="38"/>
        <v>6429.6428571428578</v>
      </c>
      <c r="F180" s="201">
        <v>1376</v>
      </c>
      <c r="G180" s="198">
        <f t="shared" si="38"/>
        <v>491.42857142857144</v>
      </c>
      <c r="H180" s="201"/>
      <c r="I180" s="198" t="str">
        <f t="shared" si="39"/>
        <v/>
      </c>
      <c r="J180" s="201"/>
      <c r="K180" s="198" t="str">
        <f t="shared" si="40"/>
        <v/>
      </c>
      <c r="L180" s="201"/>
      <c r="M180" s="198" t="str">
        <f t="shared" si="41"/>
        <v/>
      </c>
      <c r="N180" s="201">
        <v>370</v>
      </c>
      <c r="O180" s="198">
        <f t="shared" si="42"/>
        <v>132.14285714285714</v>
      </c>
      <c r="P180" s="201">
        <v>3968</v>
      </c>
      <c r="Q180" s="198">
        <f t="shared" si="43"/>
        <v>1417.1428571428573</v>
      </c>
      <c r="R180" s="201">
        <v>3087</v>
      </c>
      <c r="S180" s="198">
        <f t="shared" si="44"/>
        <v>1102.5</v>
      </c>
      <c r="T180" s="201"/>
      <c r="U180" s="198" t="str">
        <f t="shared" si="45"/>
        <v/>
      </c>
      <c r="V180" s="201">
        <v>14586</v>
      </c>
      <c r="W180" s="198">
        <f t="shared" si="46"/>
        <v>5209.2857142857147</v>
      </c>
      <c r="X180" s="201"/>
      <c r="Y180" s="198" t="str">
        <f t="shared" si="47"/>
        <v/>
      </c>
      <c r="Z180" s="201"/>
      <c r="AA180" s="198" t="str">
        <f t="shared" si="48"/>
        <v/>
      </c>
      <c r="AB180" s="201"/>
      <c r="AC180" s="198" t="str">
        <f t="shared" si="49"/>
        <v/>
      </c>
      <c r="AD180" s="201"/>
      <c r="AE180" s="198" t="str">
        <f t="shared" si="50"/>
        <v/>
      </c>
      <c r="AF180" s="201"/>
      <c r="AG180" s="198" t="str">
        <f t="shared" si="51"/>
        <v/>
      </c>
      <c r="AH180" s="201"/>
      <c r="AI180" s="198" t="str">
        <f t="shared" si="52"/>
        <v/>
      </c>
      <c r="AJ180" s="201">
        <v>4149</v>
      </c>
      <c r="AK180" s="198">
        <f t="shared" si="53"/>
        <v>1481.7857142857144</v>
      </c>
      <c r="AL180" s="201"/>
      <c r="AM180" s="198" t="str">
        <f t="shared" si="54"/>
        <v/>
      </c>
      <c r="AN180" s="201"/>
      <c r="AO180" s="198" t="str">
        <f t="shared" si="55"/>
        <v/>
      </c>
      <c r="AP180" s="201">
        <v>27536</v>
      </c>
      <c r="AQ180" s="198">
        <f t="shared" si="56"/>
        <v>9834.2857142857156</v>
      </c>
    </row>
    <row r="181" spans="1:43">
      <c r="A181" s="200"/>
      <c r="B181">
        <v>1.22</v>
      </c>
      <c r="D181" s="201">
        <v>14127</v>
      </c>
      <c r="E181" s="198">
        <f t="shared" si="38"/>
        <v>11579.508196721312</v>
      </c>
      <c r="F181" s="201"/>
      <c r="G181" s="198" t="str">
        <f t="shared" si="38"/>
        <v/>
      </c>
      <c r="H181" s="201"/>
      <c r="I181" s="198" t="str">
        <f t="shared" si="39"/>
        <v/>
      </c>
      <c r="J181" s="201"/>
      <c r="K181" s="198" t="str">
        <f t="shared" si="40"/>
        <v/>
      </c>
      <c r="L181" s="201"/>
      <c r="M181" s="198" t="str">
        <f t="shared" si="41"/>
        <v/>
      </c>
      <c r="N181" s="201">
        <v>65</v>
      </c>
      <c r="O181" s="198">
        <f t="shared" si="42"/>
        <v>53.278688524590166</v>
      </c>
      <c r="P181" s="201">
        <v>2185</v>
      </c>
      <c r="Q181" s="198">
        <f t="shared" si="43"/>
        <v>1790.983606557377</v>
      </c>
      <c r="R181" s="201"/>
      <c r="S181" s="198" t="str">
        <f t="shared" si="44"/>
        <v/>
      </c>
      <c r="T181" s="201"/>
      <c r="U181" s="198" t="str">
        <f t="shared" si="45"/>
        <v/>
      </c>
      <c r="V181" s="201"/>
      <c r="W181" s="198" t="str">
        <f t="shared" si="46"/>
        <v/>
      </c>
      <c r="X181" s="201"/>
      <c r="Y181" s="198" t="str">
        <f t="shared" si="47"/>
        <v/>
      </c>
      <c r="Z181" s="201"/>
      <c r="AA181" s="198" t="str">
        <f t="shared" si="48"/>
        <v/>
      </c>
      <c r="AB181" s="201"/>
      <c r="AC181" s="198" t="str">
        <f t="shared" si="49"/>
        <v/>
      </c>
      <c r="AD181" s="201"/>
      <c r="AE181" s="198" t="str">
        <f t="shared" si="50"/>
        <v/>
      </c>
      <c r="AF181" s="201"/>
      <c r="AG181" s="198" t="str">
        <f t="shared" si="51"/>
        <v/>
      </c>
      <c r="AH181" s="201"/>
      <c r="AI181" s="198" t="str">
        <f t="shared" si="52"/>
        <v/>
      </c>
      <c r="AJ181" s="201"/>
      <c r="AK181" s="198" t="str">
        <f t="shared" si="53"/>
        <v/>
      </c>
      <c r="AL181" s="201"/>
      <c r="AM181" s="198" t="str">
        <f t="shared" si="54"/>
        <v/>
      </c>
      <c r="AN181" s="201"/>
      <c r="AO181" s="198" t="str">
        <f t="shared" si="55"/>
        <v/>
      </c>
      <c r="AP181" s="201">
        <v>2250</v>
      </c>
      <c r="AQ181" s="198">
        <f t="shared" si="56"/>
        <v>1844.2622950819673</v>
      </c>
    </row>
    <row r="182" spans="1:43">
      <c r="A182" s="200"/>
      <c r="B182">
        <v>0.04</v>
      </c>
      <c r="D182" s="201"/>
      <c r="E182" s="198" t="str">
        <f t="shared" si="38"/>
        <v/>
      </c>
      <c r="F182" s="201"/>
      <c r="G182" s="198" t="str">
        <f t="shared" si="38"/>
        <v/>
      </c>
      <c r="H182" s="201"/>
      <c r="I182" s="198" t="str">
        <f t="shared" si="39"/>
        <v/>
      </c>
      <c r="J182" s="201">
        <v>900</v>
      </c>
      <c r="K182" s="198">
        <f t="shared" si="40"/>
        <v>22500</v>
      </c>
      <c r="L182" s="201"/>
      <c r="M182" s="198" t="str">
        <f t="shared" si="41"/>
        <v/>
      </c>
      <c r="N182" s="201"/>
      <c r="O182" s="198" t="str">
        <f t="shared" si="42"/>
        <v/>
      </c>
      <c r="P182" s="201"/>
      <c r="Q182" s="198" t="str">
        <f t="shared" si="43"/>
        <v/>
      </c>
      <c r="R182" s="201"/>
      <c r="S182" s="198" t="str">
        <f t="shared" si="44"/>
        <v/>
      </c>
      <c r="T182" s="201"/>
      <c r="U182" s="198" t="str">
        <f t="shared" si="45"/>
        <v/>
      </c>
      <c r="V182" s="201"/>
      <c r="W182" s="198" t="str">
        <f t="shared" si="46"/>
        <v/>
      </c>
      <c r="X182" s="201"/>
      <c r="Y182" s="198" t="str">
        <f t="shared" si="47"/>
        <v/>
      </c>
      <c r="Z182" s="201"/>
      <c r="AA182" s="198" t="str">
        <f t="shared" si="48"/>
        <v/>
      </c>
      <c r="AB182" s="201"/>
      <c r="AC182" s="198" t="str">
        <f t="shared" si="49"/>
        <v/>
      </c>
      <c r="AD182" s="201"/>
      <c r="AE182" s="198" t="str">
        <f t="shared" si="50"/>
        <v/>
      </c>
      <c r="AF182" s="201"/>
      <c r="AG182" s="198" t="str">
        <f t="shared" si="51"/>
        <v/>
      </c>
      <c r="AH182" s="201"/>
      <c r="AI182" s="198" t="str">
        <f t="shared" si="52"/>
        <v/>
      </c>
      <c r="AJ182" s="201"/>
      <c r="AK182" s="198" t="str">
        <f t="shared" si="53"/>
        <v/>
      </c>
      <c r="AL182" s="201"/>
      <c r="AM182" s="198" t="str">
        <f t="shared" si="54"/>
        <v/>
      </c>
      <c r="AN182" s="201"/>
      <c r="AO182" s="198" t="str">
        <f t="shared" si="55"/>
        <v/>
      </c>
      <c r="AP182" s="201">
        <v>900</v>
      </c>
      <c r="AQ182" s="198">
        <f t="shared" si="56"/>
        <v>22500</v>
      </c>
    </row>
    <row r="183" spans="1:43">
      <c r="A183" s="200"/>
      <c r="B183">
        <v>0.37</v>
      </c>
      <c r="D183" s="201"/>
      <c r="E183" s="198" t="str">
        <f t="shared" si="38"/>
        <v/>
      </c>
      <c r="F183" s="201"/>
      <c r="G183" s="198" t="str">
        <f t="shared" si="38"/>
        <v/>
      </c>
      <c r="H183" s="201"/>
      <c r="I183" s="198" t="str">
        <f t="shared" si="39"/>
        <v/>
      </c>
      <c r="J183" s="201"/>
      <c r="K183" s="198" t="str">
        <f t="shared" si="40"/>
        <v/>
      </c>
      <c r="L183" s="201"/>
      <c r="M183" s="198" t="str">
        <f t="shared" si="41"/>
        <v/>
      </c>
      <c r="N183" s="201"/>
      <c r="O183" s="198" t="str">
        <f t="shared" si="42"/>
        <v/>
      </c>
      <c r="P183" s="201"/>
      <c r="Q183" s="198" t="str">
        <f t="shared" si="43"/>
        <v/>
      </c>
      <c r="R183" s="201"/>
      <c r="S183" s="198" t="str">
        <f t="shared" si="44"/>
        <v/>
      </c>
      <c r="T183" s="201"/>
      <c r="U183" s="198" t="str">
        <f t="shared" si="45"/>
        <v/>
      </c>
      <c r="V183" s="201"/>
      <c r="W183" s="198" t="str">
        <f t="shared" si="46"/>
        <v/>
      </c>
      <c r="X183" s="201"/>
      <c r="Y183" s="198" t="str">
        <f t="shared" si="47"/>
        <v/>
      </c>
      <c r="Z183" s="201"/>
      <c r="AA183" s="198" t="str">
        <f t="shared" si="48"/>
        <v/>
      </c>
      <c r="AB183" s="201"/>
      <c r="AC183" s="198" t="str">
        <f t="shared" si="49"/>
        <v/>
      </c>
      <c r="AD183" s="201"/>
      <c r="AE183" s="198" t="str">
        <f t="shared" si="50"/>
        <v/>
      </c>
      <c r="AF183" s="201"/>
      <c r="AG183" s="198" t="str">
        <f t="shared" si="51"/>
        <v/>
      </c>
      <c r="AH183" s="201"/>
      <c r="AI183" s="198" t="str">
        <f t="shared" si="52"/>
        <v/>
      </c>
      <c r="AJ183" s="201"/>
      <c r="AK183" s="198" t="str">
        <f t="shared" si="53"/>
        <v/>
      </c>
      <c r="AL183" s="201"/>
      <c r="AM183" s="198" t="str">
        <f t="shared" si="54"/>
        <v/>
      </c>
      <c r="AN183" s="201"/>
      <c r="AO183" s="198" t="str">
        <f t="shared" si="55"/>
        <v/>
      </c>
      <c r="AP183" s="201"/>
      <c r="AQ183" s="198" t="str">
        <f t="shared" si="56"/>
        <v/>
      </c>
    </row>
    <row r="184" spans="1:43">
      <c r="A184" s="200"/>
      <c r="B184">
        <v>7.0000000000000007E-2</v>
      </c>
      <c r="D184" s="201"/>
      <c r="E184" s="198" t="str">
        <f t="shared" si="38"/>
        <v/>
      </c>
      <c r="F184" s="201"/>
      <c r="G184" s="198" t="str">
        <f t="shared" si="38"/>
        <v/>
      </c>
      <c r="H184" s="201"/>
      <c r="I184" s="198" t="str">
        <f t="shared" si="39"/>
        <v/>
      </c>
      <c r="J184" s="201">
        <v>22355</v>
      </c>
      <c r="K184" s="198">
        <f t="shared" si="40"/>
        <v>319357.14285714284</v>
      </c>
      <c r="L184" s="201"/>
      <c r="M184" s="198" t="str">
        <f t="shared" si="41"/>
        <v/>
      </c>
      <c r="N184" s="201">
        <v>2</v>
      </c>
      <c r="O184" s="198">
        <f t="shared" si="42"/>
        <v>28.571428571428569</v>
      </c>
      <c r="P184" s="201">
        <v>19</v>
      </c>
      <c r="Q184" s="198">
        <f t="shared" si="43"/>
        <v>271.42857142857139</v>
      </c>
      <c r="R184" s="201"/>
      <c r="S184" s="198" t="str">
        <f t="shared" si="44"/>
        <v/>
      </c>
      <c r="T184" s="201"/>
      <c r="U184" s="198" t="str">
        <f t="shared" si="45"/>
        <v/>
      </c>
      <c r="V184" s="201"/>
      <c r="W184" s="198" t="str">
        <f t="shared" si="46"/>
        <v/>
      </c>
      <c r="X184" s="201"/>
      <c r="Y184" s="198" t="str">
        <f t="shared" si="47"/>
        <v/>
      </c>
      <c r="Z184" s="201"/>
      <c r="AA184" s="198" t="str">
        <f t="shared" si="48"/>
        <v/>
      </c>
      <c r="AB184" s="201"/>
      <c r="AC184" s="198" t="str">
        <f t="shared" si="49"/>
        <v/>
      </c>
      <c r="AD184" s="201"/>
      <c r="AE184" s="198" t="str">
        <f t="shared" si="50"/>
        <v/>
      </c>
      <c r="AF184" s="201"/>
      <c r="AG184" s="198" t="str">
        <f t="shared" si="51"/>
        <v/>
      </c>
      <c r="AH184" s="201"/>
      <c r="AI184" s="198" t="str">
        <f t="shared" si="52"/>
        <v/>
      </c>
      <c r="AJ184" s="201"/>
      <c r="AK184" s="198" t="str">
        <f t="shared" si="53"/>
        <v/>
      </c>
      <c r="AL184" s="201"/>
      <c r="AM184" s="198" t="str">
        <f t="shared" si="54"/>
        <v/>
      </c>
      <c r="AN184" s="201"/>
      <c r="AO184" s="198" t="str">
        <f t="shared" si="55"/>
        <v/>
      </c>
      <c r="AP184" s="201">
        <v>22376</v>
      </c>
      <c r="AQ184" s="198">
        <f t="shared" si="56"/>
        <v>319657.14285714284</v>
      </c>
    </row>
    <row r="185" spans="1:43">
      <c r="A185" s="200"/>
      <c r="B185">
        <v>5.16</v>
      </c>
      <c r="D185" s="201"/>
      <c r="E185" s="198" t="str">
        <f t="shared" si="38"/>
        <v/>
      </c>
      <c r="F185" s="201"/>
      <c r="G185" s="198" t="str">
        <f t="shared" si="38"/>
        <v/>
      </c>
      <c r="H185" s="201"/>
      <c r="I185" s="198" t="str">
        <f t="shared" si="39"/>
        <v/>
      </c>
      <c r="J185" s="201"/>
      <c r="K185" s="198" t="str">
        <f t="shared" si="40"/>
        <v/>
      </c>
      <c r="L185" s="201"/>
      <c r="M185" s="198" t="str">
        <f t="shared" si="41"/>
        <v/>
      </c>
      <c r="N185" s="201">
        <v>144</v>
      </c>
      <c r="O185" s="198">
        <f t="shared" si="42"/>
        <v>27.906976744186046</v>
      </c>
      <c r="P185" s="201">
        <v>8308</v>
      </c>
      <c r="Q185" s="198">
        <f t="shared" si="43"/>
        <v>1610.0775193798449</v>
      </c>
      <c r="R185" s="201"/>
      <c r="S185" s="198" t="str">
        <f t="shared" si="44"/>
        <v/>
      </c>
      <c r="T185" s="201"/>
      <c r="U185" s="198" t="str">
        <f t="shared" si="45"/>
        <v/>
      </c>
      <c r="V185" s="201">
        <v>7168</v>
      </c>
      <c r="W185" s="198">
        <f t="shared" si="46"/>
        <v>1389.1472868217054</v>
      </c>
      <c r="X185" s="201">
        <v>8964</v>
      </c>
      <c r="Y185" s="198">
        <f t="shared" si="47"/>
        <v>1737.2093023255813</v>
      </c>
      <c r="Z185" s="201"/>
      <c r="AA185" s="198" t="str">
        <f t="shared" si="48"/>
        <v/>
      </c>
      <c r="AB185" s="201"/>
      <c r="AC185" s="198" t="str">
        <f t="shared" si="49"/>
        <v/>
      </c>
      <c r="AD185" s="201"/>
      <c r="AE185" s="198" t="str">
        <f t="shared" si="50"/>
        <v/>
      </c>
      <c r="AF185" s="201"/>
      <c r="AG185" s="198" t="str">
        <f t="shared" si="51"/>
        <v/>
      </c>
      <c r="AH185" s="201"/>
      <c r="AI185" s="198" t="str">
        <f t="shared" si="52"/>
        <v/>
      </c>
      <c r="AJ185" s="201">
        <v>53972</v>
      </c>
      <c r="AK185" s="198">
        <f t="shared" si="53"/>
        <v>10459.68992248062</v>
      </c>
      <c r="AL185" s="201"/>
      <c r="AM185" s="198" t="str">
        <f t="shared" si="54"/>
        <v/>
      </c>
      <c r="AN185" s="201"/>
      <c r="AO185" s="198" t="str">
        <f t="shared" si="55"/>
        <v/>
      </c>
      <c r="AP185" s="201">
        <v>78556</v>
      </c>
      <c r="AQ185" s="198">
        <f t="shared" si="56"/>
        <v>15224.031007751937</v>
      </c>
    </row>
    <row r="186" spans="1:43">
      <c r="A186" s="190" t="s">
        <v>275</v>
      </c>
      <c r="B186" s="196">
        <v>10.277206730769199</v>
      </c>
      <c r="D186" s="197">
        <v>34220.730000000003</v>
      </c>
      <c r="E186" s="198">
        <f t="shared" si="38"/>
        <v>3329.769546967043</v>
      </c>
      <c r="F186" s="197">
        <v>7635</v>
      </c>
      <c r="G186" s="198">
        <f t="shared" si="38"/>
        <v>742.90614171858317</v>
      </c>
      <c r="H186" s="197"/>
      <c r="I186" s="198" t="str">
        <f t="shared" si="39"/>
        <v/>
      </c>
      <c r="J186" s="197">
        <v>102987.63</v>
      </c>
      <c r="K186" s="198">
        <f t="shared" si="40"/>
        <v>10020.974832749314</v>
      </c>
      <c r="L186" s="197"/>
      <c r="M186" s="198" t="str">
        <f t="shared" si="41"/>
        <v/>
      </c>
      <c r="N186" s="197">
        <v>210</v>
      </c>
      <c r="O186" s="198">
        <f t="shared" si="42"/>
        <v>20.433567748644723</v>
      </c>
      <c r="P186" s="197">
        <v>40449.97</v>
      </c>
      <c r="Q186" s="198">
        <f t="shared" si="43"/>
        <v>3935.8914401221268</v>
      </c>
      <c r="R186" s="197">
        <v>3122.48</v>
      </c>
      <c r="S186" s="198">
        <f t="shared" si="44"/>
        <v>303.82574582756274</v>
      </c>
      <c r="T186" s="197">
        <v>38.75</v>
      </c>
      <c r="U186" s="198">
        <f t="shared" si="45"/>
        <v>3.7704797631427764</v>
      </c>
      <c r="V186" s="197">
        <v>3811.54</v>
      </c>
      <c r="W186" s="198">
        <f t="shared" si="46"/>
        <v>370.87314674604437</v>
      </c>
      <c r="X186" s="197"/>
      <c r="Y186" s="198" t="str">
        <f t="shared" si="47"/>
        <v/>
      </c>
      <c r="Z186" s="197"/>
      <c r="AA186" s="198" t="str">
        <f t="shared" si="48"/>
        <v/>
      </c>
      <c r="AB186" s="197">
        <v>7098.36</v>
      </c>
      <c r="AC186" s="198">
        <f t="shared" si="49"/>
        <v>690.68961887747503</v>
      </c>
      <c r="AD186" s="197">
        <v>111.16</v>
      </c>
      <c r="AE186" s="198">
        <f t="shared" si="50"/>
        <v>10.816168528282606</v>
      </c>
      <c r="AF186" s="197"/>
      <c r="AG186" s="198" t="str">
        <f t="shared" si="51"/>
        <v/>
      </c>
      <c r="AH186" s="197"/>
      <c r="AI186" s="198" t="str">
        <f t="shared" si="52"/>
        <v/>
      </c>
      <c r="AJ186" s="197">
        <v>1650.89</v>
      </c>
      <c r="AK186" s="198">
        <f t="shared" si="53"/>
        <v>160.6360602883814</v>
      </c>
      <c r="AL186" s="197"/>
      <c r="AM186" s="198" t="str">
        <f t="shared" si="54"/>
        <v/>
      </c>
      <c r="AN186" s="197"/>
      <c r="AO186" s="198" t="str">
        <f t="shared" si="55"/>
        <v/>
      </c>
      <c r="AP186" s="197">
        <v>167115.78</v>
      </c>
      <c r="AQ186" s="198">
        <f t="shared" si="56"/>
        <v>16260.817202369557</v>
      </c>
    </row>
    <row r="187" spans="1:43">
      <c r="A187" s="200"/>
      <c r="B187">
        <v>4.5366973076923101</v>
      </c>
      <c r="D187" s="201">
        <v>37763.1</v>
      </c>
      <c r="E187" s="198">
        <f t="shared" si="38"/>
        <v>8323.918797925935</v>
      </c>
      <c r="F187" s="201"/>
      <c r="G187" s="198" t="str">
        <f t="shared" si="38"/>
        <v/>
      </c>
      <c r="H187" s="201"/>
      <c r="I187" s="198" t="str">
        <f t="shared" si="39"/>
        <v/>
      </c>
      <c r="J187" s="201"/>
      <c r="K187" s="198" t="str">
        <f t="shared" si="40"/>
        <v/>
      </c>
      <c r="L187" s="201"/>
      <c r="M187" s="198" t="str">
        <f t="shared" si="41"/>
        <v/>
      </c>
      <c r="N187" s="201">
        <v>30</v>
      </c>
      <c r="O187" s="198">
        <f t="shared" si="42"/>
        <v>6.6127400541210353</v>
      </c>
      <c r="P187" s="201">
        <v>979.11</v>
      </c>
      <c r="Q187" s="198">
        <f t="shared" si="43"/>
        <v>215.81999714634821</v>
      </c>
      <c r="R187" s="201">
        <v>929.88</v>
      </c>
      <c r="S187" s="198">
        <f t="shared" si="44"/>
        <v>204.96849071753559</v>
      </c>
      <c r="T187" s="201"/>
      <c r="U187" s="198" t="str">
        <f t="shared" si="45"/>
        <v/>
      </c>
      <c r="V187" s="201"/>
      <c r="W187" s="198" t="str">
        <f t="shared" si="46"/>
        <v/>
      </c>
      <c r="X187" s="201"/>
      <c r="Y187" s="198" t="str">
        <f t="shared" si="47"/>
        <v/>
      </c>
      <c r="Z187" s="201"/>
      <c r="AA187" s="198" t="str">
        <f t="shared" si="48"/>
        <v/>
      </c>
      <c r="AB187" s="201"/>
      <c r="AC187" s="198" t="str">
        <f t="shared" si="49"/>
        <v/>
      </c>
      <c r="AD187" s="201">
        <v>2206.08</v>
      </c>
      <c r="AE187" s="198">
        <f t="shared" si="50"/>
        <v>486.2744526198444</v>
      </c>
      <c r="AF187" s="201"/>
      <c r="AG187" s="198" t="str">
        <f t="shared" si="51"/>
        <v/>
      </c>
      <c r="AH187" s="201"/>
      <c r="AI187" s="198" t="str">
        <f t="shared" si="52"/>
        <v/>
      </c>
      <c r="AJ187" s="201">
        <v>11.62</v>
      </c>
      <c r="AK187" s="198">
        <f t="shared" si="53"/>
        <v>2.5613346476295473</v>
      </c>
      <c r="AL187" s="201"/>
      <c r="AM187" s="198" t="str">
        <f t="shared" si="54"/>
        <v/>
      </c>
      <c r="AN187" s="201"/>
      <c r="AO187" s="198" t="str">
        <f t="shared" si="55"/>
        <v/>
      </c>
      <c r="AP187" s="201">
        <v>4156.6899999999996</v>
      </c>
      <c r="AQ187" s="198">
        <f t="shared" si="56"/>
        <v>916.23701518547875</v>
      </c>
    </row>
    <row r="188" spans="1:43">
      <c r="A188" s="200"/>
      <c r="B188">
        <v>0.12572115384615401</v>
      </c>
      <c r="D188" s="201">
        <v>137.34</v>
      </c>
      <c r="E188" s="198">
        <f t="shared" si="38"/>
        <v>1092.4175908221782</v>
      </c>
      <c r="F188" s="201"/>
      <c r="G188" s="198" t="str">
        <f t="shared" si="38"/>
        <v/>
      </c>
      <c r="H188" s="201"/>
      <c r="I188" s="198" t="str">
        <f t="shared" si="39"/>
        <v/>
      </c>
      <c r="J188" s="201"/>
      <c r="K188" s="198" t="str">
        <f t="shared" si="40"/>
        <v/>
      </c>
      <c r="L188" s="201"/>
      <c r="M188" s="198" t="str">
        <f t="shared" si="41"/>
        <v/>
      </c>
      <c r="N188" s="201"/>
      <c r="O188" s="198" t="str">
        <f t="shared" si="42"/>
        <v/>
      </c>
      <c r="P188" s="201">
        <v>24.3</v>
      </c>
      <c r="Q188" s="198">
        <f t="shared" si="43"/>
        <v>193.28489483747586</v>
      </c>
      <c r="R188" s="201"/>
      <c r="S188" s="198" t="str">
        <f t="shared" si="44"/>
        <v/>
      </c>
      <c r="T188" s="201"/>
      <c r="U188" s="198" t="str">
        <f t="shared" si="45"/>
        <v/>
      </c>
      <c r="V188" s="201"/>
      <c r="W188" s="198" t="str">
        <f t="shared" si="46"/>
        <v/>
      </c>
      <c r="X188" s="201"/>
      <c r="Y188" s="198" t="str">
        <f t="shared" si="47"/>
        <v/>
      </c>
      <c r="Z188" s="201"/>
      <c r="AA188" s="198" t="str">
        <f t="shared" si="48"/>
        <v/>
      </c>
      <c r="AB188" s="201"/>
      <c r="AC188" s="198" t="str">
        <f t="shared" si="49"/>
        <v/>
      </c>
      <c r="AD188" s="201">
        <v>592780.18999999994</v>
      </c>
      <c r="AE188" s="198">
        <f t="shared" si="50"/>
        <v>4715039.3697896684</v>
      </c>
      <c r="AF188" s="201"/>
      <c r="AG188" s="198" t="str">
        <f t="shared" si="51"/>
        <v/>
      </c>
      <c r="AH188" s="201"/>
      <c r="AI188" s="198" t="str">
        <f t="shared" si="52"/>
        <v/>
      </c>
      <c r="AJ188" s="201"/>
      <c r="AK188" s="198" t="str">
        <f t="shared" si="53"/>
        <v/>
      </c>
      <c r="AL188" s="201"/>
      <c r="AM188" s="198" t="str">
        <f t="shared" si="54"/>
        <v/>
      </c>
      <c r="AN188" s="201"/>
      <c r="AO188" s="198" t="str">
        <f t="shared" si="55"/>
        <v/>
      </c>
      <c r="AP188" s="201">
        <v>592804.49</v>
      </c>
      <c r="AQ188" s="198">
        <f t="shared" si="56"/>
        <v>4715232.6546845064</v>
      </c>
    </row>
    <row r="189" spans="1:43">
      <c r="A189" s="200"/>
      <c r="B189">
        <v>2.5364423076923002</v>
      </c>
      <c r="D189" s="201">
        <v>3098.02</v>
      </c>
      <c r="E189" s="198">
        <f t="shared" si="38"/>
        <v>1221.4036923310246</v>
      </c>
      <c r="F189" s="201"/>
      <c r="G189" s="198" t="str">
        <f t="shared" si="38"/>
        <v/>
      </c>
      <c r="H189" s="201"/>
      <c r="I189" s="198" t="str">
        <f t="shared" si="39"/>
        <v/>
      </c>
      <c r="J189" s="201"/>
      <c r="K189" s="198" t="str">
        <f t="shared" si="40"/>
        <v/>
      </c>
      <c r="L189" s="201"/>
      <c r="M189" s="198" t="str">
        <f t="shared" si="41"/>
        <v/>
      </c>
      <c r="N189" s="201"/>
      <c r="O189" s="198" t="str">
        <f t="shared" si="42"/>
        <v/>
      </c>
      <c r="P189" s="201">
        <v>1188</v>
      </c>
      <c r="Q189" s="198">
        <f t="shared" si="43"/>
        <v>468.37256908904948</v>
      </c>
      <c r="R189" s="201"/>
      <c r="S189" s="198" t="str">
        <f t="shared" si="44"/>
        <v/>
      </c>
      <c r="T189" s="201"/>
      <c r="U189" s="198" t="str">
        <f t="shared" si="45"/>
        <v/>
      </c>
      <c r="V189" s="201"/>
      <c r="W189" s="198" t="str">
        <f t="shared" si="46"/>
        <v/>
      </c>
      <c r="X189" s="201"/>
      <c r="Y189" s="198" t="str">
        <f t="shared" si="47"/>
        <v/>
      </c>
      <c r="Z189" s="201"/>
      <c r="AA189" s="198" t="str">
        <f t="shared" si="48"/>
        <v/>
      </c>
      <c r="AB189" s="201"/>
      <c r="AC189" s="198" t="str">
        <f t="shared" si="49"/>
        <v/>
      </c>
      <c r="AD189" s="201">
        <v>10176.120000000001</v>
      </c>
      <c r="AE189" s="198">
        <f t="shared" si="50"/>
        <v>4011.9658819515644</v>
      </c>
      <c r="AF189" s="201"/>
      <c r="AG189" s="198" t="str">
        <f t="shared" si="51"/>
        <v/>
      </c>
      <c r="AH189" s="201"/>
      <c r="AI189" s="198" t="str">
        <f t="shared" si="52"/>
        <v/>
      </c>
      <c r="AJ189" s="201"/>
      <c r="AK189" s="198" t="str">
        <f t="shared" si="53"/>
        <v/>
      </c>
      <c r="AL189" s="201"/>
      <c r="AM189" s="198" t="str">
        <f t="shared" si="54"/>
        <v/>
      </c>
      <c r="AN189" s="201"/>
      <c r="AO189" s="198" t="str">
        <f t="shared" si="55"/>
        <v/>
      </c>
      <c r="AP189" s="201">
        <v>11364.12</v>
      </c>
      <c r="AQ189" s="198">
        <f t="shared" si="56"/>
        <v>4480.338451040614</v>
      </c>
    </row>
    <row r="190" spans="1:43">
      <c r="A190" s="200"/>
      <c r="D190" s="201">
        <v>238.76</v>
      </c>
      <c r="E190" s="198" t="str">
        <f t="shared" si="38"/>
        <v/>
      </c>
      <c r="F190" s="201"/>
      <c r="G190" s="198" t="str">
        <f t="shared" si="38"/>
        <v/>
      </c>
      <c r="H190" s="201"/>
      <c r="I190" s="198" t="str">
        <f t="shared" si="39"/>
        <v/>
      </c>
      <c r="J190" s="201"/>
      <c r="K190" s="198" t="str">
        <f t="shared" si="40"/>
        <v/>
      </c>
      <c r="L190" s="201"/>
      <c r="M190" s="198" t="str">
        <f t="shared" si="41"/>
        <v/>
      </c>
      <c r="N190" s="201"/>
      <c r="O190" s="198" t="str">
        <f t="shared" si="42"/>
        <v/>
      </c>
      <c r="P190" s="201">
        <v>405.32</v>
      </c>
      <c r="Q190" s="198" t="str">
        <f t="shared" si="43"/>
        <v/>
      </c>
      <c r="R190" s="201">
        <v>345.31</v>
      </c>
      <c r="S190" s="198" t="str">
        <f t="shared" si="44"/>
        <v/>
      </c>
      <c r="T190" s="201"/>
      <c r="U190" s="198" t="str">
        <f t="shared" si="45"/>
        <v/>
      </c>
      <c r="V190" s="201"/>
      <c r="W190" s="198" t="str">
        <f t="shared" si="46"/>
        <v/>
      </c>
      <c r="X190" s="201"/>
      <c r="Y190" s="198" t="str">
        <f t="shared" si="47"/>
        <v/>
      </c>
      <c r="Z190" s="201"/>
      <c r="AA190" s="198" t="str">
        <f t="shared" si="48"/>
        <v/>
      </c>
      <c r="AB190" s="201">
        <v>119.89</v>
      </c>
      <c r="AC190" s="198" t="str">
        <f t="shared" si="49"/>
        <v/>
      </c>
      <c r="AD190" s="201">
        <v>50238.04</v>
      </c>
      <c r="AE190" s="198" t="str">
        <f t="shared" si="50"/>
        <v/>
      </c>
      <c r="AF190" s="201"/>
      <c r="AG190" s="198" t="str">
        <f t="shared" si="51"/>
        <v/>
      </c>
      <c r="AH190" s="201"/>
      <c r="AI190" s="198" t="str">
        <f t="shared" si="52"/>
        <v/>
      </c>
      <c r="AJ190" s="201">
        <v>88.82</v>
      </c>
      <c r="AK190" s="198" t="str">
        <f t="shared" si="53"/>
        <v/>
      </c>
      <c r="AL190" s="201"/>
      <c r="AM190" s="198" t="str">
        <f t="shared" si="54"/>
        <v/>
      </c>
      <c r="AN190" s="201"/>
      <c r="AO190" s="198" t="str">
        <f t="shared" si="55"/>
        <v/>
      </c>
      <c r="AP190" s="201">
        <v>51197.38</v>
      </c>
      <c r="AQ190" s="198" t="str">
        <f t="shared" si="56"/>
        <v/>
      </c>
    </row>
    <row r="191" spans="1:43">
      <c r="A191" s="190" t="s">
        <v>276</v>
      </c>
      <c r="B191" s="196"/>
      <c r="D191" s="197"/>
      <c r="E191" s="198" t="str">
        <f t="shared" si="38"/>
        <v/>
      </c>
      <c r="F191" s="197"/>
      <c r="G191" s="198" t="str">
        <f t="shared" si="38"/>
        <v/>
      </c>
      <c r="H191" s="197"/>
      <c r="I191" s="198" t="str">
        <f t="shared" si="39"/>
        <v/>
      </c>
      <c r="J191" s="197"/>
      <c r="K191" s="198" t="str">
        <f t="shared" si="40"/>
        <v/>
      </c>
      <c r="L191" s="197"/>
      <c r="M191" s="198" t="str">
        <f t="shared" si="41"/>
        <v/>
      </c>
      <c r="N191" s="197"/>
      <c r="O191" s="198" t="str">
        <f t="shared" si="42"/>
        <v/>
      </c>
      <c r="P191" s="197"/>
      <c r="Q191" s="198" t="str">
        <f t="shared" si="43"/>
        <v/>
      </c>
      <c r="R191" s="197"/>
      <c r="S191" s="198" t="str">
        <f t="shared" si="44"/>
        <v/>
      </c>
      <c r="T191" s="197"/>
      <c r="U191" s="198" t="str">
        <f t="shared" si="45"/>
        <v/>
      </c>
      <c r="V191" s="197"/>
      <c r="W191" s="198" t="str">
        <f t="shared" si="46"/>
        <v/>
      </c>
      <c r="X191" s="197"/>
      <c r="Y191" s="198" t="str">
        <f t="shared" si="47"/>
        <v/>
      </c>
      <c r="Z191" s="197"/>
      <c r="AA191" s="198" t="str">
        <f t="shared" si="48"/>
        <v/>
      </c>
      <c r="AB191" s="197"/>
      <c r="AC191" s="198" t="str">
        <f t="shared" si="49"/>
        <v/>
      </c>
      <c r="AD191" s="197"/>
      <c r="AE191" s="198" t="str">
        <f t="shared" si="50"/>
        <v/>
      </c>
      <c r="AF191" s="197"/>
      <c r="AG191" s="198" t="str">
        <f t="shared" si="51"/>
        <v/>
      </c>
      <c r="AH191" s="197"/>
      <c r="AI191" s="198" t="str">
        <f t="shared" si="52"/>
        <v/>
      </c>
      <c r="AJ191" s="197"/>
      <c r="AK191" s="198" t="str">
        <f t="shared" si="53"/>
        <v/>
      </c>
      <c r="AL191" s="197"/>
      <c r="AM191" s="198" t="str">
        <f t="shared" si="54"/>
        <v/>
      </c>
      <c r="AN191" s="197"/>
      <c r="AO191" s="198" t="str">
        <f t="shared" si="55"/>
        <v/>
      </c>
      <c r="AP191" s="197"/>
      <c r="AQ191" s="198" t="str">
        <f t="shared" si="56"/>
        <v/>
      </c>
    </row>
    <row r="192" spans="1:43">
      <c r="A192" s="190" t="s">
        <v>277</v>
      </c>
      <c r="B192" s="196"/>
      <c r="D192" s="197"/>
      <c r="E192" s="198" t="str">
        <f t="shared" si="38"/>
        <v/>
      </c>
      <c r="F192" s="197"/>
      <c r="G192" s="198" t="str">
        <f t="shared" si="38"/>
        <v/>
      </c>
      <c r="H192" s="197"/>
      <c r="I192" s="198" t="str">
        <f t="shared" si="39"/>
        <v/>
      </c>
      <c r="J192" s="197">
        <v>5250</v>
      </c>
      <c r="K192" s="198" t="str">
        <f t="shared" si="40"/>
        <v/>
      </c>
      <c r="L192" s="197"/>
      <c r="M192" s="198" t="str">
        <f t="shared" si="41"/>
        <v/>
      </c>
      <c r="N192" s="197"/>
      <c r="O192" s="198" t="str">
        <f t="shared" si="42"/>
        <v/>
      </c>
      <c r="P192" s="197"/>
      <c r="Q192" s="198" t="str">
        <f t="shared" si="43"/>
        <v/>
      </c>
      <c r="R192" s="197"/>
      <c r="S192" s="198" t="str">
        <f t="shared" si="44"/>
        <v/>
      </c>
      <c r="T192" s="197"/>
      <c r="U192" s="198" t="str">
        <f t="shared" si="45"/>
        <v/>
      </c>
      <c r="V192" s="197"/>
      <c r="W192" s="198" t="str">
        <f t="shared" si="46"/>
        <v/>
      </c>
      <c r="X192" s="197"/>
      <c r="Y192" s="198" t="str">
        <f t="shared" si="47"/>
        <v/>
      </c>
      <c r="Z192" s="197"/>
      <c r="AA192" s="198" t="str">
        <f t="shared" si="48"/>
        <v/>
      </c>
      <c r="AB192" s="197"/>
      <c r="AC192" s="198" t="str">
        <f t="shared" si="49"/>
        <v/>
      </c>
      <c r="AD192" s="197"/>
      <c r="AE192" s="198" t="str">
        <f t="shared" si="50"/>
        <v/>
      </c>
      <c r="AF192" s="197"/>
      <c r="AG192" s="198" t="str">
        <f t="shared" si="51"/>
        <v/>
      </c>
      <c r="AH192" s="197"/>
      <c r="AI192" s="198" t="str">
        <f t="shared" si="52"/>
        <v/>
      </c>
      <c r="AJ192" s="197"/>
      <c r="AK192" s="198" t="str">
        <f t="shared" si="53"/>
        <v/>
      </c>
      <c r="AL192" s="197"/>
      <c r="AM192" s="198" t="str">
        <f t="shared" si="54"/>
        <v/>
      </c>
      <c r="AN192" s="197"/>
      <c r="AO192" s="198" t="str">
        <f t="shared" si="55"/>
        <v/>
      </c>
      <c r="AP192" s="197">
        <v>5250</v>
      </c>
      <c r="AQ192" s="198" t="str">
        <f t="shared" si="56"/>
        <v/>
      </c>
    </row>
    <row r="193" spans="1:43">
      <c r="A193" s="190" t="s">
        <v>278</v>
      </c>
      <c r="B193" s="196">
        <v>19.059999999999999</v>
      </c>
      <c r="D193" s="197"/>
      <c r="E193" s="198" t="str">
        <f t="shared" si="38"/>
        <v/>
      </c>
      <c r="F193" s="197">
        <v>120</v>
      </c>
      <c r="G193" s="198">
        <f t="shared" si="38"/>
        <v>6.2959076600209869</v>
      </c>
      <c r="H193" s="197"/>
      <c r="I193" s="198" t="str">
        <f t="shared" si="39"/>
        <v/>
      </c>
      <c r="J193" s="197"/>
      <c r="K193" s="198" t="str">
        <f t="shared" si="40"/>
        <v/>
      </c>
      <c r="L193" s="197"/>
      <c r="M193" s="198" t="str">
        <f t="shared" si="41"/>
        <v/>
      </c>
      <c r="N193" s="197">
        <v>100</v>
      </c>
      <c r="O193" s="198">
        <f t="shared" si="42"/>
        <v>5.2465897166841557</v>
      </c>
      <c r="P193" s="197">
        <v>3586</v>
      </c>
      <c r="Q193" s="198">
        <f t="shared" si="43"/>
        <v>188.14270724029382</v>
      </c>
      <c r="R193" s="197"/>
      <c r="S193" s="198" t="str">
        <f t="shared" si="44"/>
        <v/>
      </c>
      <c r="T193" s="197"/>
      <c r="U193" s="198" t="str">
        <f t="shared" si="45"/>
        <v/>
      </c>
      <c r="V193" s="197"/>
      <c r="W193" s="198" t="str">
        <f t="shared" si="46"/>
        <v/>
      </c>
      <c r="X193" s="197"/>
      <c r="Y193" s="198" t="str">
        <f t="shared" si="47"/>
        <v/>
      </c>
      <c r="Z193" s="197"/>
      <c r="AA193" s="198" t="str">
        <f t="shared" si="48"/>
        <v/>
      </c>
      <c r="AB193" s="197"/>
      <c r="AC193" s="198" t="str">
        <f t="shared" si="49"/>
        <v/>
      </c>
      <c r="AD193" s="197"/>
      <c r="AE193" s="198" t="str">
        <f t="shared" si="50"/>
        <v/>
      </c>
      <c r="AF193" s="197"/>
      <c r="AG193" s="198" t="str">
        <f t="shared" si="51"/>
        <v/>
      </c>
      <c r="AH193" s="197"/>
      <c r="AI193" s="198" t="str">
        <f t="shared" si="52"/>
        <v/>
      </c>
      <c r="AJ193" s="197">
        <v>434</v>
      </c>
      <c r="AK193" s="198">
        <f t="shared" si="53"/>
        <v>22.770199370409234</v>
      </c>
      <c r="AL193" s="197"/>
      <c r="AM193" s="198" t="str">
        <f t="shared" si="54"/>
        <v/>
      </c>
      <c r="AN193" s="197">
        <v>6696</v>
      </c>
      <c r="AO193" s="198">
        <f t="shared" si="55"/>
        <v>351.31164742917105</v>
      </c>
      <c r="AP193" s="197">
        <v>10936</v>
      </c>
      <c r="AQ193" s="198">
        <f t="shared" si="56"/>
        <v>573.76705141657931</v>
      </c>
    </row>
    <row r="194" spans="1:43">
      <c r="A194" s="200"/>
      <c r="B194">
        <v>2.7</v>
      </c>
      <c r="D194" s="201">
        <v>22822</v>
      </c>
      <c r="E194" s="198">
        <f t="shared" si="38"/>
        <v>8452.5925925925912</v>
      </c>
      <c r="F194" s="201">
        <v>52540</v>
      </c>
      <c r="G194" s="198">
        <f t="shared" si="38"/>
        <v>19459.259259259259</v>
      </c>
      <c r="H194" s="201"/>
      <c r="I194" s="198" t="str">
        <f t="shared" si="39"/>
        <v/>
      </c>
      <c r="J194" s="201"/>
      <c r="K194" s="198" t="str">
        <f t="shared" si="40"/>
        <v/>
      </c>
      <c r="L194" s="201"/>
      <c r="M194" s="198" t="str">
        <f t="shared" si="41"/>
        <v/>
      </c>
      <c r="N194" s="201">
        <v>45</v>
      </c>
      <c r="O194" s="198">
        <f t="shared" si="42"/>
        <v>16.666666666666664</v>
      </c>
      <c r="P194" s="201">
        <v>1641</v>
      </c>
      <c r="Q194" s="198">
        <f t="shared" si="43"/>
        <v>607.77777777777771</v>
      </c>
      <c r="R194" s="201"/>
      <c r="S194" s="198" t="str">
        <f t="shared" si="44"/>
        <v/>
      </c>
      <c r="T194" s="201"/>
      <c r="U194" s="198" t="str">
        <f t="shared" si="45"/>
        <v/>
      </c>
      <c r="V194" s="201"/>
      <c r="W194" s="198" t="str">
        <f t="shared" si="46"/>
        <v/>
      </c>
      <c r="X194" s="201"/>
      <c r="Y194" s="198" t="str">
        <f t="shared" si="47"/>
        <v/>
      </c>
      <c r="Z194" s="201"/>
      <c r="AA194" s="198" t="str">
        <f t="shared" si="48"/>
        <v/>
      </c>
      <c r="AB194" s="201"/>
      <c r="AC194" s="198" t="str">
        <f t="shared" si="49"/>
        <v/>
      </c>
      <c r="AD194" s="201"/>
      <c r="AE194" s="198" t="str">
        <f t="shared" si="50"/>
        <v/>
      </c>
      <c r="AF194" s="201"/>
      <c r="AG194" s="198" t="str">
        <f t="shared" si="51"/>
        <v/>
      </c>
      <c r="AH194" s="201"/>
      <c r="AI194" s="198" t="str">
        <f t="shared" si="52"/>
        <v/>
      </c>
      <c r="AJ194" s="201">
        <v>591</v>
      </c>
      <c r="AK194" s="198">
        <f t="shared" si="53"/>
        <v>218.88888888888889</v>
      </c>
      <c r="AL194" s="201"/>
      <c r="AM194" s="198" t="str">
        <f t="shared" si="54"/>
        <v/>
      </c>
      <c r="AN194" s="201">
        <v>13550</v>
      </c>
      <c r="AO194" s="198">
        <f t="shared" si="55"/>
        <v>5018.5185185185182</v>
      </c>
      <c r="AP194" s="201">
        <v>68367</v>
      </c>
      <c r="AQ194" s="198">
        <f t="shared" si="56"/>
        <v>25321.111111111109</v>
      </c>
    </row>
    <row r="195" spans="1:43">
      <c r="A195" s="200"/>
      <c r="B195">
        <v>7.09</v>
      </c>
      <c r="D195" s="201">
        <v>7288</v>
      </c>
      <c r="E195" s="198">
        <f t="shared" si="38"/>
        <v>1027.9266572637518</v>
      </c>
      <c r="F195" s="201"/>
      <c r="G195" s="198" t="str">
        <f t="shared" si="38"/>
        <v/>
      </c>
      <c r="H195" s="201"/>
      <c r="I195" s="198" t="str">
        <f t="shared" si="39"/>
        <v/>
      </c>
      <c r="J195" s="201"/>
      <c r="K195" s="198" t="str">
        <f t="shared" si="40"/>
        <v/>
      </c>
      <c r="L195" s="201"/>
      <c r="M195" s="198" t="str">
        <f t="shared" si="41"/>
        <v/>
      </c>
      <c r="N195" s="201"/>
      <c r="O195" s="198" t="str">
        <f t="shared" si="42"/>
        <v/>
      </c>
      <c r="P195" s="201">
        <v>371</v>
      </c>
      <c r="Q195" s="198">
        <f t="shared" si="43"/>
        <v>52.327221438645978</v>
      </c>
      <c r="R195" s="201"/>
      <c r="S195" s="198" t="str">
        <f t="shared" si="44"/>
        <v/>
      </c>
      <c r="T195" s="201"/>
      <c r="U195" s="198" t="str">
        <f t="shared" si="45"/>
        <v/>
      </c>
      <c r="V195" s="201"/>
      <c r="W195" s="198" t="str">
        <f t="shared" si="46"/>
        <v/>
      </c>
      <c r="X195" s="201"/>
      <c r="Y195" s="198" t="str">
        <f t="shared" si="47"/>
        <v/>
      </c>
      <c r="Z195" s="201"/>
      <c r="AA195" s="198" t="str">
        <f t="shared" si="48"/>
        <v/>
      </c>
      <c r="AB195" s="201"/>
      <c r="AC195" s="198" t="str">
        <f t="shared" si="49"/>
        <v/>
      </c>
      <c r="AD195" s="201"/>
      <c r="AE195" s="198" t="str">
        <f t="shared" si="50"/>
        <v/>
      </c>
      <c r="AF195" s="201"/>
      <c r="AG195" s="198" t="str">
        <f t="shared" si="51"/>
        <v/>
      </c>
      <c r="AH195" s="201"/>
      <c r="AI195" s="198" t="str">
        <f t="shared" si="52"/>
        <v/>
      </c>
      <c r="AJ195" s="201">
        <v>229</v>
      </c>
      <c r="AK195" s="198">
        <f t="shared" si="53"/>
        <v>32.299012693935119</v>
      </c>
      <c r="AL195" s="201"/>
      <c r="AM195" s="198" t="str">
        <f t="shared" si="54"/>
        <v/>
      </c>
      <c r="AN195" s="201">
        <v>4884</v>
      </c>
      <c r="AO195" s="198">
        <f t="shared" si="55"/>
        <v>688.85754583921016</v>
      </c>
      <c r="AP195" s="201">
        <v>5484</v>
      </c>
      <c r="AQ195" s="198">
        <f t="shared" si="56"/>
        <v>773.48377997179125</v>
      </c>
    </row>
    <row r="196" spans="1:43">
      <c r="A196" s="200"/>
      <c r="B196">
        <v>17.34</v>
      </c>
      <c r="D196" s="201">
        <v>17003</v>
      </c>
      <c r="E196" s="198">
        <f t="shared" si="38"/>
        <v>980.56516724336791</v>
      </c>
      <c r="F196" s="201"/>
      <c r="G196" s="198" t="str">
        <f t="shared" si="38"/>
        <v/>
      </c>
      <c r="H196" s="201"/>
      <c r="I196" s="198" t="str">
        <f t="shared" si="39"/>
        <v/>
      </c>
      <c r="J196" s="201"/>
      <c r="K196" s="198" t="str">
        <f t="shared" si="40"/>
        <v/>
      </c>
      <c r="L196" s="201"/>
      <c r="M196" s="198" t="str">
        <f t="shared" si="41"/>
        <v/>
      </c>
      <c r="N196" s="201"/>
      <c r="O196" s="198" t="str">
        <f t="shared" si="42"/>
        <v/>
      </c>
      <c r="P196" s="201">
        <v>865</v>
      </c>
      <c r="Q196" s="198">
        <f t="shared" si="43"/>
        <v>49.884659746251444</v>
      </c>
      <c r="R196" s="201"/>
      <c r="S196" s="198" t="str">
        <f t="shared" si="44"/>
        <v/>
      </c>
      <c r="T196" s="201"/>
      <c r="U196" s="198" t="str">
        <f t="shared" si="45"/>
        <v/>
      </c>
      <c r="V196" s="201"/>
      <c r="W196" s="198" t="str">
        <f t="shared" si="46"/>
        <v/>
      </c>
      <c r="X196" s="201"/>
      <c r="Y196" s="198" t="str">
        <f t="shared" si="47"/>
        <v/>
      </c>
      <c r="Z196" s="201"/>
      <c r="AA196" s="198" t="str">
        <f t="shared" si="48"/>
        <v/>
      </c>
      <c r="AB196" s="201"/>
      <c r="AC196" s="198" t="str">
        <f t="shared" si="49"/>
        <v/>
      </c>
      <c r="AD196" s="201"/>
      <c r="AE196" s="198" t="str">
        <f t="shared" si="50"/>
        <v/>
      </c>
      <c r="AF196" s="201"/>
      <c r="AG196" s="198" t="str">
        <f t="shared" si="51"/>
        <v/>
      </c>
      <c r="AH196" s="201"/>
      <c r="AI196" s="198" t="str">
        <f t="shared" si="52"/>
        <v/>
      </c>
      <c r="AJ196" s="201">
        <v>533</v>
      </c>
      <c r="AK196" s="198">
        <f t="shared" si="53"/>
        <v>30.738177623990772</v>
      </c>
      <c r="AL196" s="201"/>
      <c r="AM196" s="198" t="str">
        <f t="shared" si="54"/>
        <v/>
      </c>
      <c r="AN196" s="201">
        <v>305890</v>
      </c>
      <c r="AO196" s="198">
        <f t="shared" si="55"/>
        <v>17640.715109573241</v>
      </c>
      <c r="AP196" s="201">
        <v>307288</v>
      </c>
      <c r="AQ196" s="198">
        <f t="shared" si="56"/>
        <v>17721.337946943484</v>
      </c>
    </row>
    <row r="197" spans="1:43">
      <c r="A197" s="200"/>
      <c r="B197">
        <v>16.96</v>
      </c>
      <c r="D197" s="201">
        <v>105309</v>
      </c>
      <c r="E197" s="198">
        <f t="shared" si="38"/>
        <v>6209.257075471698</v>
      </c>
      <c r="F197" s="201">
        <v>4968</v>
      </c>
      <c r="G197" s="198">
        <f t="shared" si="38"/>
        <v>292.92452830188677</v>
      </c>
      <c r="H197" s="201"/>
      <c r="I197" s="198" t="str">
        <f t="shared" si="39"/>
        <v/>
      </c>
      <c r="J197" s="201">
        <v>2429</v>
      </c>
      <c r="K197" s="198">
        <f t="shared" si="40"/>
        <v>143.21933962264151</v>
      </c>
      <c r="L197" s="201"/>
      <c r="M197" s="198" t="str">
        <f t="shared" si="41"/>
        <v/>
      </c>
      <c r="N197" s="201">
        <v>1103</v>
      </c>
      <c r="O197" s="198">
        <f t="shared" si="42"/>
        <v>65.035377358490564</v>
      </c>
      <c r="P197" s="201">
        <v>12184</v>
      </c>
      <c r="Q197" s="198">
        <f t="shared" si="43"/>
        <v>718.39622641509425</v>
      </c>
      <c r="R197" s="201">
        <v>718</v>
      </c>
      <c r="S197" s="198">
        <f t="shared" si="44"/>
        <v>42.334905660377359</v>
      </c>
      <c r="T197" s="201"/>
      <c r="U197" s="198" t="str">
        <f t="shared" si="45"/>
        <v/>
      </c>
      <c r="V197" s="201">
        <v>20545</v>
      </c>
      <c r="W197" s="198">
        <f t="shared" si="46"/>
        <v>1211.3797169811321</v>
      </c>
      <c r="X197" s="201"/>
      <c r="Y197" s="198" t="str">
        <f t="shared" si="47"/>
        <v/>
      </c>
      <c r="Z197" s="201"/>
      <c r="AA197" s="198" t="str">
        <f t="shared" si="48"/>
        <v/>
      </c>
      <c r="AB197" s="201"/>
      <c r="AC197" s="198" t="str">
        <f t="shared" si="49"/>
        <v/>
      </c>
      <c r="AD197" s="201"/>
      <c r="AE197" s="198" t="str">
        <f t="shared" si="50"/>
        <v/>
      </c>
      <c r="AF197" s="201"/>
      <c r="AG197" s="198" t="str">
        <f t="shared" si="51"/>
        <v/>
      </c>
      <c r="AH197" s="201"/>
      <c r="AI197" s="198" t="str">
        <f t="shared" si="52"/>
        <v/>
      </c>
      <c r="AJ197" s="201">
        <v>7591</v>
      </c>
      <c r="AK197" s="198">
        <f t="shared" si="53"/>
        <v>447.58254716981128</v>
      </c>
      <c r="AL197" s="201"/>
      <c r="AM197" s="198" t="str">
        <f t="shared" si="54"/>
        <v/>
      </c>
      <c r="AN197" s="201"/>
      <c r="AO197" s="198" t="str">
        <f t="shared" si="55"/>
        <v/>
      </c>
      <c r="AP197" s="201">
        <v>49538</v>
      </c>
      <c r="AQ197" s="198">
        <f t="shared" si="56"/>
        <v>2920.8726415094338</v>
      </c>
    </row>
    <row r="198" spans="1:43">
      <c r="A198" s="200"/>
      <c r="B198">
        <v>1.77</v>
      </c>
      <c r="D198" s="201">
        <v>2072</v>
      </c>
      <c r="E198" s="198">
        <f t="shared" si="38"/>
        <v>1170.6214689265537</v>
      </c>
      <c r="F198" s="201">
        <v>4651</v>
      </c>
      <c r="G198" s="198">
        <f t="shared" si="38"/>
        <v>2627.6836158192091</v>
      </c>
      <c r="H198" s="201"/>
      <c r="I198" s="198" t="str">
        <f t="shared" si="39"/>
        <v/>
      </c>
      <c r="J198" s="201"/>
      <c r="K198" s="198" t="str">
        <f t="shared" si="40"/>
        <v/>
      </c>
      <c r="L198" s="201"/>
      <c r="M198" s="198" t="str">
        <f t="shared" si="41"/>
        <v/>
      </c>
      <c r="N198" s="201"/>
      <c r="O198" s="198" t="str">
        <f t="shared" si="42"/>
        <v/>
      </c>
      <c r="P198" s="201">
        <v>1868</v>
      </c>
      <c r="Q198" s="198">
        <f t="shared" si="43"/>
        <v>1055.3672316384182</v>
      </c>
      <c r="R198" s="201">
        <v>613</v>
      </c>
      <c r="S198" s="198">
        <f t="shared" si="44"/>
        <v>346.32768361581918</v>
      </c>
      <c r="T198" s="201"/>
      <c r="U198" s="198" t="str">
        <f t="shared" si="45"/>
        <v/>
      </c>
      <c r="V198" s="201">
        <v>323</v>
      </c>
      <c r="W198" s="198">
        <f t="shared" si="46"/>
        <v>182.4858757062147</v>
      </c>
      <c r="X198" s="201"/>
      <c r="Y198" s="198" t="str">
        <f t="shared" si="47"/>
        <v/>
      </c>
      <c r="Z198" s="201"/>
      <c r="AA198" s="198" t="str">
        <f t="shared" si="48"/>
        <v/>
      </c>
      <c r="AB198" s="201"/>
      <c r="AC198" s="198" t="str">
        <f t="shared" si="49"/>
        <v/>
      </c>
      <c r="AD198" s="201"/>
      <c r="AE198" s="198" t="str">
        <f t="shared" si="50"/>
        <v/>
      </c>
      <c r="AF198" s="201"/>
      <c r="AG198" s="198" t="str">
        <f t="shared" si="51"/>
        <v/>
      </c>
      <c r="AH198" s="201"/>
      <c r="AI198" s="198" t="str">
        <f t="shared" si="52"/>
        <v/>
      </c>
      <c r="AJ198" s="201">
        <v>7547</v>
      </c>
      <c r="AK198" s="198">
        <f t="shared" si="53"/>
        <v>4263.8418079096045</v>
      </c>
      <c r="AL198" s="201"/>
      <c r="AM198" s="198" t="str">
        <f t="shared" si="54"/>
        <v/>
      </c>
      <c r="AN198" s="201">
        <v>955621</v>
      </c>
      <c r="AO198" s="198">
        <f t="shared" si="55"/>
        <v>539898.87005649717</v>
      </c>
      <c r="AP198" s="201">
        <v>970623</v>
      </c>
      <c r="AQ198" s="198">
        <f t="shared" si="56"/>
        <v>548374.57627118647</v>
      </c>
    </row>
    <row r="199" spans="1:43">
      <c r="A199" s="190" t="s">
        <v>279</v>
      </c>
      <c r="B199" s="196">
        <v>0.4</v>
      </c>
      <c r="D199" s="197"/>
      <c r="E199" s="198" t="str">
        <f t="shared" si="38"/>
        <v/>
      </c>
      <c r="F199" s="197"/>
      <c r="G199" s="198" t="str">
        <f t="shared" si="38"/>
        <v/>
      </c>
      <c r="H199" s="197"/>
      <c r="I199" s="198" t="str">
        <f t="shared" si="39"/>
        <v/>
      </c>
      <c r="J199" s="197"/>
      <c r="K199" s="198" t="str">
        <f t="shared" si="40"/>
        <v/>
      </c>
      <c r="L199" s="197"/>
      <c r="M199" s="198" t="str">
        <f t="shared" si="41"/>
        <v/>
      </c>
      <c r="N199" s="197">
        <v>58</v>
      </c>
      <c r="O199" s="198">
        <f t="shared" si="42"/>
        <v>145</v>
      </c>
      <c r="P199" s="197">
        <v>132</v>
      </c>
      <c r="Q199" s="198">
        <f t="shared" si="43"/>
        <v>330</v>
      </c>
      <c r="R199" s="197"/>
      <c r="S199" s="198" t="str">
        <f t="shared" si="44"/>
        <v/>
      </c>
      <c r="T199" s="197"/>
      <c r="U199" s="198" t="str">
        <f t="shared" si="45"/>
        <v/>
      </c>
      <c r="V199" s="197"/>
      <c r="W199" s="198" t="str">
        <f t="shared" si="46"/>
        <v/>
      </c>
      <c r="X199" s="197"/>
      <c r="Y199" s="198" t="str">
        <f t="shared" si="47"/>
        <v/>
      </c>
      <c r="Z199" s="197"/>
      <c r="AA199" s="198" t="str">
        <f t="shared" si="48"/>
        <v/>
      </c>
      <c r="AB199" s="197"/>
      <c r="AC199" s="198" t="str">
        <f t="shared" si="49"/>
        <v/>
      </c>
      <c r="AD199" s="197">
        <v>2083</v>
      </c>
      <c r="AE199" s="198">
        <f t="shared" si="50"/>
        <v>5207.5</v>
      </c>
      <c r="AF199" s="197"/>
      <c r="AG199" s="198" t="str">
        <f t="shared" si="51"/>
        <v/>
      </c>
      <c r="AH199" s="197"/>
      <c r="AI199" s="198" t="str">
        <f t="shared" si="52"/>
        <v/>
      </c>
      <c r="AJ199" s="197"/>
      <c r="AK199" s="198" t="str">
        <f t="shared" si="53"/>
        <v/>
      </c>
      <c r="AL199" s="197"/>
      <c r="AM199" s="198" t="str">
        <f t="shared" si="54"/>
        <v/>
      </c>
      <c r="AN199" s="197"/>
      <c r="AO199" s="198" t="str">
        <f t="shared" si="55"/>
        <v/>
      </c>
      <c r="AP199" s="197">
        <v>2273</v>
      </c>
      <c r="AQ199" s="198">
        <f t="shared" si="56"/>
        <v>5682.5</v>
      </c>
    </row>
    <row r="200" spans="1:43">
      <c r="A200" s="200"/>
      <c r="B200">
        <v>4.84</v>
      </c>
      <c r="D200" s="201">
        <v>8620</v>
      </c>
      <c r="E200" s="198">
        <f t="shared" si="38"/>
        <v>1780.9917355371902</v>
      </c>
      <c r="F200" s="201"/>
      <c r="G200" s="198" t="str">
        <f t="shared" si="38"/>
        <v/>
      </c>
      <c r="H200" s="201">
        <v>750</v>
      </c>
      <c r="I200" s="198">
        <f t="shared" si="39"/>
        <v>154.95867768595042</v>
      </c>
      <c r="J200" s="201"/>
      <c r="K200" s="198" t="str">
        <f t="shared" si="40"/>
        <v/>
      </c>
      <c r="L200" s="201"/>
      <c r="M200" s="198" t="str">
        <f t="shared" si="41"/>
        <v/>
      </c>
      <c r="N200" s="201">
        <v>928</v>
      </c>
      <c r="O200" s="198">
        <f t="shared" si="42"/>
        <v>191.73553719008265</v>
      </c>
      <c r="P200" s="201">
        <v>335</v>
      </c>
      <c r="Q200" s="198">
        <f t="shared" si="43"/>
        <v>69.214876033057848</v>
      </c>
      <c r="R200" s="201">
        <v>103</v>
      </c>
      <c r="S200" s="198">
        <f t="shared" si="44"/>
        <v>21.280991735537192</v>
      </c>
      <c r="T200" s="201"/>
      <c r="U200" s="198" t="str">
        <f t="shared" si="45"/>
        <v/>
      </c>
      <c r="V200" s="201"/>
      <c r="W200" s="198" t="str">
        <f t="shared" si="46"/>
        <v/>
      </c>
      <c r="X200" s="201"/>
      <c r="Y200" s="198" t="str">
        <f t="shared" si="47"/>
        <v/>
      </c>
      <c r="Z200" s="201"/>
      <c r="AA200" s="198" t="str">
        <f t="shared" si="48"/>
        <v/>
      </c>
      <c r="AB200" s="201"/>
      <c r="AC200" s="198" t="str">
        <f t="shared" si="49"/>
        <v/>
      </c>
      <c r="AD200" s="201"/>
      <c r="AE200" s="198" t="str">
        <f t="shared" si="50"/>
        <v/>
      </c>
      <c r="AF200" s="201"/>
      <c r="AG200" s="198" t="str">
        <f t="shared" si="51"/>
        <v/>
      </c>
      <c r="AH200" s="201"/>
      <c r="AI200" s="198" t="str">
        <f t="shared" si="52"/>
        <v/>
      </c>
      <c r="AJ200" s="201"/>
      <c r="AK200" s="198" t="str">
        <f t="shared" si="53"/>
        <v/>
      </c>
      <c r="AL200" s="201"/>
      <c r="AM200" s="198" t="str">
        <f t="shared" si="54"/>
        <v/>
      </c>
      <c r="AN200" s="201"/>
      <c r="AO200" s="198" t="str">
        <f t="shared" si="55"/>
        <v/>
      </c>
      <c r="AP200" s="201">
        <v>2116</v>
      </c>
      <c r="AQ200" s="198">
        <f t="shared" si="56"/>
        <v>437.19008264462809</v>
      </c>
    </row>
    <row r="201" spans="1:43">
      <c r="A201" s="200"/>
      <c r="B201">
        <v>1.88</v>
      </c>
      <c r="D201" s="201"/>
      <c r="E201" s="198" t="str">
        <f t="shared" si="38"/>
        <v/>
      </c>
      <c r="F201" s="201"/>
      <c r="G201" s="198" t="str">
        <f t="shared" si="38"/>
        <v/>
      </c>
      <c r="H201" s="201"/>
      <c r="I201" s="198" t="str">
        <f t="shared" si="39"/>
        <v/>
      </c>
      <c r="J201" s="201"/>
      <c r="K201" s="198" t="str">
        <f t="shared" si="40"/>
        <v/>
      </c>
      <c r="L201" s="201"/>
      <c r="M201" s="198" t="str">
        <f t="shared" si="41"/>
        <v/>
      </c>
      <c r="N201" s="201">
        <v>936</v>
      </c>
      <c r="O201" s="198">
        <f t="shared" si="42"/>
        <v>497.87234042553195</v>
      </c>
      <c r="P201" s="201">
        <v>3194</v>
      </c>
      <c r="Q201" s="198">
        <f t="shared" si="43"/>
        <v>1698.936170212766</v>
      </c>
      <c r="R201" s="201"/>
      <c r="S201" s="198" t="str">
        <f t="shared" si="44"/>
        <v/>
      </c>
      <c r="T201" s="201"/>
      <c r="U201" s="198" t="str">
        <f t="shared" si="45"/>
        <v/>
      </c>
      <c r="V201" s="201"/>
      <c r="W201" s="198" t="str">
        <f t="shared" si="46"/>
        <v/>
      </c>
      <c r="X201" s="201"/>
      <c r="Y201" s="198" t="str">
        <f t="shared" si="47"/>
        <v/>
      </c>
      <c r="Z201" s="201"/>
      <c r="AA201" s="198" t="str">
        <f t="shared" si="48"/>
        <v/>
      </c>
      <c r="AB201" s="201"/>
      <c r="AC201" s="198" t="str">
        <f t="shared" si="49"/>
        <v/>
      </c>
      <c r="AD201" s="201"/>
      <c r="AE201" s="198" t="str">
        <f t="shared" si="50"/>
        <v/>
      </c>
      <c r="AF201" s="201"/>
      <c r="AG201" s="198" t="str">
        <f t="shared" si="51"/>
        <v/>
      </c>
      <c r="AH201" s="201"/>
      <c r="AI201" s="198" t="str">
        <f t="shared" si="52"/>
        <v/>
      </c>
      <c r="AJ201" s="201"/>
      <c r="AK201" s="198" t="str">
        <f t="shared" si="53"/>
        <v/>
      </c>
      <c r="AL201" s="201"/>
      <c r="AM201" s="198" t="str">
        <f t="shared" si="54"/>
        <v/>
      </c>
      <c r="AN201" s="201"/>
      <c r="AO201" s="198" t="str">
        <f t="shared" si="55"/>
        <v/>
      </c>
      <c r="AP201" s="201">
        <v>4130</v>
      </c>
      <c r="AQ201" s="198">
        <f t="shared" si="56"/>
        <v>2196.8085106382978</v>
      </c>
    </row>
    <row r="202" spans="1:43">
      <c r="A202" s="200"/>
      <c r="B202">
        <v>5.36</v>
      </c>
      <c r="D202" s="201">
        <v>13632</v>
      </c>
      <c r="E202" s="198">
        <f t="shared" si="38"/>
        <v>2543.2835820895521</v>
      </c>
      <c r="F202" s="201"/>
      <c r="G202" s="198" t="str">
        <f t="shared" si="38"/>
        <v/>
      </c>
      <c r="H202" s="201"/>
      <c r="I202" s="198" t="str">
        <f t="shared" si="39"/>
        <v/>
      </c>
      <c r="J202" s="201"/>
      <c r="K202" s="198" t="str">
        <f t="shared" si="40"/>
        <v/>
      </c>
      <c r="L202" s="201"/>
      <c r="M202" s="198" t="str">
        <f t="shared" si="41"/>
        <v/>
      </c>
      <c r="N202" s="201">
        <v>966</v>
      </c>
      <c r="O202" s="198">
        <f t="shared" si="42"/>
        <v>180.22388059701493</v>
      </c>
      <c r="P202" s="201">
        <v>3046</v>
      </c>
      <c r="Q202" s="198">
        <f t="shared" si="43"/>
        <v>568.28358208955217</v>
      </c>
      <c r="R202" s="201">
        <v>180</v>
      </c>
      <c r="S202" s="198">
        <f t="shared" si="44"/>
        <v>33.582089552238806</v>
      </c>
      <c r="T202" s="201"/>
      <c r="U202" s="198" t="str">
        <f t="shared" si="45"/>
        <v/>
      </c>
      <c r="V202" s="201"/>
      <c r="W202" s="198" t="str">
        <f t="shared" si="46"/>
        <v/>
      </c>
      <c r="X202" s="201"/>
      <c r="Y202" s="198" t="str">
        <f t="shared" si="47"/>
        <v/>
      </c>
      <c r="Z202" s="201"/>
      <c r="AA202" s="198" t="str">
        <f t="shared" si="48"/>
        <v/>
      </c>
      <c r="AB202" s="201"/>
      <c r="AC202" s="198" t="str">
        <f t="shared" si="49"/>
        <v/>
      </c>
      <c r="AD202" s="201"/>
      <c r="AE202" s="198" t="str">
        <f t="shared" si="50"/>
        <v/>
      </c>
      <c r="AF202" s="201"/>
      <c r="AG202" s="198" t="str">
        <f t="shared" si="51"/>
        <v/>
      </c>
      <c r="AH202" s="201"/>
      <c r="AI202" s="198" t="str">
        <f t="shared" si="52"/>
        <v/>
      </c>
      <c r="AJ202" s="201"/>
      <c r="AK202" s="198" t="str">
        <f t="shared" si="53"/>
        <v/>
      </c>
      <c r="AL202" s="201"/>
      <c r="AM202" s="198" t="str">
        <f t="shared" si="54"/>
        <v/>
      </c>
      <c r="AN202" s="201"/>
      <c r="AO202" s="198" t="str">
        <f t="shared" si="55"/>
        <v/>
      </c>
      <c r="AP202" s="201">
        <v>4192</v>
      </c>
      <c r="AQ202" s="198">
        <f t="shared" si="56"/>
        <v>782.08955223880594</v>
      </c>
    </row>
    <row r="203" spans="1:43">
      <c r="A203" s="190" t="s">
        <v>280</v>
      </c>
      <c r="B203" s="196">
        <v>1.76</v>
      </c>
      <c r="D203" s="197">
        <v>1202</v>
      </c>
      <c r="E203" s="198">
        <f t="shared" si="38"/>
        <v>682.9545454545455</v>
      </c>
      <c r="F203" s="197"/>
      <c r="G203" s="198" t="str">
        <f t="shared" si="38"/>
        <v/>
      </c>
      <c r="H203" s="197"/>
      <c r="I203" s="198" t="str">
        <f t="shared" si="39"/>
        <v/>
      </c>
      <c r="J203" s="197"/>
      <c r="K203" s="198" t="str">
        <f t="shared" si="40"/>
        <v/>
      </c>
      <c r="L203" s="197"/>
      <c r="M203" s="198" t="str">
        <f t="shared" si="41"/>
        <v/>
      </c>
      <c r="N203" s="197">
        <v>573</v>
      </c>
      <c r="O203" s="198">
        <f t="shared" si="42"/>
        <v>325.56818181818181</v>
      </c>
      <c r="P203" s="197">
        <v>2278</v>
      </c>
      <c r="Q203" s="198">
        <f t="shared" si="43"/>
        <v>1294.3181818181818</v>
      </c>
      <c r="R203" s="197"/>
      <c r="S203" s="198" t="str">
        <f t="shared" si="44"/>
        <v/>
      </c>
      <c r="T203" s="197">
        <v>7</v>
      </c>
      <c r="U203" s="198">
        <f t="shared" si="45"/>
        <v>3.9772727272727271</v>
      </c>
      <c r="V203" s="197">
        <v>2684</v>
      </c>
      <c r="W203" s="198">
        <f t="shared" si="46"/>
        <v>1525</v>
      </c>
      <c r="X203" s="197">
        <v>3925</v>
      </c>
      <c r="Y203" s="198">
        <f t="shared" si="47"/>
        <v>2230.1136363636365</v>
      </c>
      <c r="Z203" s="197">
        <v>3</v>
      </c>
      <c r="AA203" s="198">
        <f t="shared" si="48"/>
        <v>1.7045454545454546</v>
      </c>
      <c r="AB203" s="197"/>
      <c r="AC203" s="198" t="str">
        <f t="shared" si="49"/>
        <v/>
      </c>
      <c r="AD203" s="197">
        <v>204</v>
      </c>
      <c r="AE203" s="198">
        <f t="shared" si="50"/>
        <v>115.90909090909091</v>
      </c>
      <c r="AF203" s="197"/>
      <c r="AG203" s="198" t="str">
        <f t="shared" si="51"/>
        <v/>
      </c>
      <c r="AH203" s="197"/>
      <c r="AI203" s="198" t="str">
        <f t="shared" si="52"/>
        <v/>
      </c>
      <c r="AJ203" s="197">
        <v>53</v>
      </c>
      <c r="AK203" s="198">
        <f t="shared" si="53"/>
        <v>30.113636363636363</v>
      </c>
      <c r="AL203" s="197"/>
      <c r="AM203" s="198" t="str">
        <f t="shared" si="54"/>
        <v/>
      </c>
      <c r="AN203" s="197"/>
      <c r="AO203" s="198" t="str">
        <f t="shared" si="55"/>
        <v/>
      </c>
      <c r="AP203" s="197">
        <v>9727</v>
      </c>
      <c r="AQ203" s="198">
        <f t="shared" si="56"/>
        <v>5526.704545454545</v>
      </c>
    </row>
    <row r="204" spans="1:43">
      <c r="A204" s="190" t="s">
        <v>281</v>
      </c>
      <c r="B204" s="196"/>
      <c r="D204" s="197"/>
      <c r="E204" s="198" t="str">
        <f t="shared" si="38"/>
        <v/>
      </c>
      <c r="F204" s="197"/>
      <c r="G204" s="198" t="str">
        <f t="shared" si="38"/>
        <v/>
      </c>
      <c r="H204" s="197"/>
      <c r="I204" s="198" t="str">
        <f t="shared" si="39"/>
        <v/>
      </c>
      <c r="J204" s="197">
        <v>10470</v>
      </c>
      <c r="K204" s="198" t="str">
        <f t="shared" si="40"/>
        <v/>
      </c>
      <c r="L204" s="197"/>
      <c r="M204" s="198" t="str">
        <f t="shared" si="41"/>
        <v/>
      </c>
      <c r="N204" s="197"/>
      <c r="O204" s="198" t="str">
        <f t="shared" si="42"/>
        <v/>
      </c>
      <c r="P204" s="197">
        <v>862</v>
      </c>
      <c r="Q204" s="198" t="str">
        <f t="shared" si="43"/>
        <v/>
      </c>
      <c r="R204" s="197"/>
      <c r="S204" s="198" t="str">
        <f t="shared" si="44"/>
        <v/>
      </c>
      <c r="T204" s="197"/>
      <c r="U204" s="198" t="str">
        <f t="shared" si="45"/>
        <v/>
      </c>
      <c r="V204" s="197"/>
      <c r="W204" s="198" t="str">
        <f t="shared" si="46"/>
        <v/>
      </c>
      <c r="X204" s="197"/>
      <c r="Y204" s="198" t="str">
        <f t="shared" si="47"/>
        <v/>
      </c>
      <c r="Z204" s="197"/>
      <c r="AA204" s="198" t="str">
        <f t="shared" si="48"/>
        <v/>
      </c>
      <c r="AB204" s="197"/>
      <c r="AC204" s="198" t="str">
        <f t="shared" si="49"/>
        <v/>
      </c>
      <c r="AD204" s="197"/>
      <c r="AE204" s="198" t="str">
        <f t="shared" si="50"/>
        <v/>
      </c>
      <c r="AF204" s="197"/>
      <c r="AG204" s="198" t="str">
        <f t="shared" si="51"/>
        <v/>
      </c>
      <c r="AH204" s="197"/>
      <c r="AI204" s="198" t="str">
        <f t="shared" si="52"/>
        <v/>
      </c>
      <c r="AJ204" s="197">
        <v>8967</v>
      </c>
      <c r="AK204" s="198" t="str">
        <f t="shared" si="53"/>
        <v/>
      </c>
      <c r="AL204" s="197"/>
      <c r="AM204" s="198" t="str">
        <f t="shared" si="54"/>
        <v/>
      </c>
      <c r="AN204" s="197"/>
      <c r="AO204" s="198" t="str">
        <f t="shared" si="55"/>
        <v/>
      </c>
      <c r="AP204" s="197">
        <v>20299</v>
      </c>
      <c r="AQ204" s="198" t="str">
        <f t="shared" si="56"/>
        <v/>
      </c>
    </row>
    <row r="205" spans="1:43">
      <c r="A205" s="200"/>
      <c r="B205">
        <v>0.79</v>
      </c>
      <c r="D205" s="201"/>
      <c r="E205" s="198" t="str">
        <f t="shared" ref="E205:G268" si="57">IF(OR($B205=0,D205=0),"",D205/$B205)</f>
        <v/>
      </c>
      <c r="F205" s="201"/>
      <c r="G205" s="198" t="str">
        <f t="shared" si="57"/>
        <v/>
      </c>
      <c r="H205" s="201"/>
      <c r="I205" s="198" t="str">
        <f t="shared" ref="I205:I268" si="58">IF(OR($B205=0,H205=0),"",H205/$B205)</f>
        <v/>
      </c>
      <c r="J205" s="201">
        <v>10898</v>
      </c>
      <c r="K205" s="198">
        <f t="shared" ref="K205:K268" si="59">IF(OR($B205=0,J205=0),"",J205/$B205)</f>
        <v>13794.93670886076</v>
      </c>
      <c r="L205" s="201"/>
      <c r="M205" s="198" t="str">
        <f t="shared" ref="M205:M268" si="60">IF(OR($B205=0,L205=0),"",L205/$B205)</f>
        <v/>
      </c>
      <c r="N205" s="201"/>
      <c r="O205" s="198" t="str">
        <f t="shared" ref="O205:O268" si="61">IF(OR($B205=0,N205=0),"",N205/$B205)</f>
        <v/>
      </c>
      <c r="P205" s="201">
        <v>897</v>
      </c>
      <c r="Q205" s="198">
        <f t="shared" ref="Q205:Q268" si="62">IF(OR($B205=0,P205=0),"",P205/$B205)</f>
        <v>1135.4430379746834</v>
      </c>
      <c r="R205" s="201"/>
      <c r="S205" s="198" t="str">
        <f t="shared" ref="S205:S268" si="63">IF(OR($B205=0,R205=0),"",R205/$B205)</f>
        <v/>
      </c>
      <c r="T205" s="201"/>
      <c r="U205" s="198" t="str">
        <f t="shared" ref="U205:U268" si="64">IF(OR($B205=0,T205=0),"",T205/$B205)</f>
        <v/>
      </c>
      <c r="V205" s="201"/>
      <c r="W205" s="198" t="str">
        <f t="shared" ref="W205:W268" si="65">IF(OR($B205=0,V205=0),"",V205/$B205)</f>
        <v/>
      </c>
      <c r="X205" s="201"/>
      <c r="Y205" s="198" t="str">
        <f t="shared" ref="Y205:Y268" si="66">IF(OR($B205=0,X205=0),"",X205/$B205)</f>
        <v/>
      </c>
      <c r="Z205" s="201"/>
      <c r="AA205" s="198" t="str">
        <f t="shared" ref="AA205:AA268" si="67">IF(OR($B205=0,Z205=0),"",Z205/$B205)</f>
        <v/>
      </c>
      <c r="AB205" s="201"/>
      <c r="AC205" s="198" t="str">
        <f t="shared" ref="AC205:AC268" si="68">IF(OR($B205=0,AB205=0),"",AB205/$B205)</f>
        <v/>
      </c>
      <c r="AD205" s="201"/>
      <c r="AE205" s="198" t="str">
        <f t="shared" ref="AE205:AE268" si="69">IF(OR($B205=0,AD205=0),"",AD205/$B205)</f>
        <v/>
      </c>
      <c r="AF205" s="201"/>
      <c r="AG205" s="198" t="str">
        <f t="shared" ref="AG205:AG268" si="70">IF(OR($B205=0,AF205=0),"",AF205/$B205)</f>
        <v/>
      </c>
      <c r="AH205" s="201"/>
      <c r="AI205" s="198" t="str">
        <f t="shared" ref="AI205:AI268" si="71">IF(OR($B205=0,AH205=0),"",AH205/$B205)</f>
        <v/>
      </c>
      <c r="AJ205" s="201">
        <v>9334</v>
      </c>
      <c r="AK205" s="198">
        <f t="shared" ref="AK205:AK268" si="72">IF(OR($B205=0,AJ205=0),"",AJ205/$B205)</f>
        <v>11815.189873417721</v>
      </c>
      <c r="AL205" s="201"/>
      <c r="AM205" s="198" t="str">
        <f t="shared" ref="AM205:AM268" si="73">IF(OR($B205=0,AL205=0),"",AL205/$B205)</f>
        <v/>
      </c>
      <c r="AN205" s="201">
        <v>45</v>
      </c>
      <c r="AO205" s="198">
        <f t="shared" ref="AO205:AO268" si="74">IF(OR($B205=0,AN205=0),"",AN205/$B205)</f>
        <v>56.962025316455694</v>
      </c>
      <c r="AP205" s="201">
        <v>21174</v>
      </c>
      <c r="AQ205" s="198">
        <f t="shared" ref="AQ205:AQ268" si="75">IF(OR($B205=0,AP205=0),"",AP205/$B205)</f>
        <v>26802.531645569619</v>
      </c>
    </row>
    <row r="206" spans="1:43">
      <c r="A206" s="200"/>
      <c r="D206" s="201"/>
      <c r="E206" s="198" t="str">
        <f t="shared" si="57"/>
        <v/>
      </c>
      <c r="F206" s="201"/>
      <c r="G206" s="198" t="str">
        <f t="shared" si="57"/>
        <v/>
      </c>
      <c r="H206" s="201"/>
      <c r="I206" s="198" t="str">
        <f t="shared" si="58"/>
        <v/>
      </c>
      <c r="J206" s="201">
        <v>7690</v>
      </c>
      <c r="K206" s="198" t="str">
        <f t="shared" si="59"/>
        <v/>
      </c>
      <c r="L206" s="201"/>
      <c r="M206" s="198" t="str">
        <f t="shared" si="60"/>
        <v/>
      </c>
      <c r="N206" s="201"/>
      <c r="O206" s="198" t="str">
        <f t="shared" si="61"/>
        <v/>
      </c>
      <c r="P206" s="201">
        <v>649</v>
      </c>
      <c r="Q206" s="198" t="str">
        <f t="shared" si="62"/>
        <v/>
      </c>
      <c r="R206" s="201"/>
      <c r="S206" s="198" t="str">
        <f t="shared" si="63"/>
        <v/>
      </c>
      <c r="T206" s="201"/>
      <c r="U206" s="198" t="str">
        <f t="shared" si="64"/>
        <v/>
      </c>
      <c r="V206" s="201">
        <v>60</v>
      </c>
      <c r="W206" s="198" t="str">
        <f t="shared" si="65"/>
        <v/>
      </c>
      <c r="X206" s="201"/>
      <c r="Y206" s="198" t="str">
        <f t="shared" si="66"/>
        <v/>
      </c>
      <c r="Z206" s="201"/>
      <c r="AA206" s="198" t="str">
        <f t="shared" si="67"/>
        <v/>
      </c>
      <c r="AB206" s="201"/>
      <c r="AC206" s="198" t="str">
        <f t="shared" si="68"/>
        <v/>
      </c>
      <c r="AD206" s="201"/>
      <c r="AE206" s="198" t="str">
        <f t="shared" si="69"/>
        <v/>
      </c>
      <c r="AF206" s="201"/>
      <c r="AG206" s="198" t="str">
        <f t="shared" si="70"/>
        <v/>
      </c>
      <c r="AH206" s="201"/>
      <c r="AI206" s="198" t="str">
        <f t="shared" si="71"/>
        <v/>
      </c>
      <c r="AJ206" s="201">
        <v>1339</v>
      </c>
      <c r="AK206" s="198" t="str">
        <f t="shared" si="72"/>
        <v/>
      </c>
      <c r="AL206" s="201"/>
      <c r="AM206" s="198" t="str">
        <f t="shared" si="73"/>
        <v/>
      </c>
      <c r="AN206" s="201">
        <v>157</v>
      </c>
      <c r="AO206" s="198" t="str">
        <f t="shared" si="74"/>
        <v/>
      </c>
      <c r="AP206" s="201">
        <v>9895</v>
      </c>
      <c r="AQ206" s="198" t="str">
        <f t="shared" si="75"/>
        <v/>
      </c>
    </row>
    <row r="207" spans="1:43">
      <c r="A207" s="200"/>
      <c r="B207">
        <v>8.39</v>
      </c>
      <c r="D207" s="201">
        <v>90594</v>
      </c>
      <c r="E207" s="198">
        <f t="shared" si="57"/>
        <v>10797.854588796185</v>
      </c>
      <c r="F207" s="201"/>
      <c r="G207" s="198" t="str">
        <f t="shared" si="57"/>
        <v/>
      </c>
      <c r="H207" s="201"/>
      <c r="I207" s="198" t="str">
        <f t="shared" si="58"/>
        <v/>
      </c>
      <c r="J207" s="201">
        <v>2189</v>
      </c>
      <c r="K207" s="198">
        <f t="shared" si="59"/>
        <v>260.9058402860548</v>
      </c>
      <c r="L207" s="201"/>
      <c r="M207" s="198" t="str">
        <f t="shared" si="60"/>
        <v/>
      </c>
      <c r="N207" s="201"/>
      <c r="O207" s="198" t="str">
        <f t="shared" si="61"/>
        <v/>
      </c>
      <c r="P207" s="201">
        <v>17437</v>
      </c>
      <c r="Q207" s="198">
        <f t="shared" si="62"/>
        <v>2078.3075089392132</v>
      </c>
      <c r="R207" s="201">
        <v>2058</v>
      </c>
      <c r="S207" s="198">
        <f t="shared" si="63"/>
        <v>245.29201430274134</v>
      </c>
      <c r="T207" s="201">
        <v>1541</v>
      </c>
      <c r="U207" s="198">
        <f t="shared" si="64"/>
        <v>183.67103694874851</v>
      </c>
      <c r="V207" s="201">
        <v>2512</v>
      </c>
      <c r="W207" s="198">
        <f t="shared" si="65"/>
        <v>299.40405244338496</v>
      </c>
      <c r="X207" s="201"/>
      <c r="Y207" s="198" t="str">
        <f t="shared" si="66"/>
        <v/>
      </c>
      <c r="Z207" s="201"/>
      <c r="AA207" s="198" t="str">
        <f t="shared" si="67"/>
        <v/>
      </c>
      <c r="AB207" s="201"/>
      <c r="AC207" s="198" t="str">
        <f t="shared" si="68"/>
        <v/>
      </c>
      <c r="AD207" s="201">
        <v>46845</v>
      </c>
      <c r="AE207" s="198">
        <f t="shared" si="69"/>
        <v>5583.4326579261024</v>
      </c>
      <c r="AF207" s="201"/>
      <c r="AG207" s="198" t="str">
        <f t="shared" si="70"/>
        <v/>
      </c>
      <c r="AH207" s="201"/>
      <c r="AI207" s="198" t="str">
        <f t="shared" si="71"/>
        <v/>
      </c>
      <c r="AJ207" s="201">
        <v>53389</v>
      </c>
      <c r="AK207" s="198">
        <f t="shared" si="72"/>
        <v>6363.4088200238375</v>
      </c>
      <c r="AL207" s="201"/>
      <c r="AM207" s="198" t="str">
        <f t="shared" si="73"/>
        <v/>
      </c>
      <c r="AN207" s="201">
        <v>34318</v>
      </c>
      <c r="AO207" s="198">
        <f t="shared" si="74"/>
        <v>4090.3456495828364</v>
      </c>
      <c r="AP207" s="201">
        <v>160289</v>
      </c>
      <c r="AQ207" s="198">
        <f t="shared" si="75"/>
        <v>19104.767580452917</v>
      </c>
    </row>
    <row r="208" spans="1:43">
      <c r="A208" s="200"/>
      <c r="B208">
        <v>1.8</v>
      </c>
      <c r="D208" s="201"/>
      <c r="E208" s="198" t="str">
        <f t="shared" si="57"/>
        <v/>
      </c>
      <c r="F208" s="201"/>
      <c r="G208" s="198" t="str">
        <f t="shared" si="57"/>
        <v/>
      </c>
      <c r="H208" s="201"/>
      <c r="I208" s="198" t="str">
        <f t="shared" si="58"/>
        <v/>
      </c>
      <c r="J208" s="201"/>
      <c r="K208" s="198" t="str">
        <f t="shared" si="59"/>
        <v/>
      </c>
      <c r="L208" s="201"/>
      <c r="M208" s="198" t="str">
        <f t="shared" si="60"/>
        <v/>
      </c>
      <c r="N208" s="201"/>
      <c r="O208" s="198" t="str">
        <f t="shared" si="61"/>
        <v/>
      </c>
      <c r="P208" s="201">
        <v>1284</v>
      </c>
      <c r="Q208" s="198">
        <f t="shared" si="62"/>
        <v>713.33333333333337</v>
      </c>
      <c r="R208" s="201"/>
      <c r="S208" s="198" t="str">
        <f t="shared" si="63"/>
        <v/>
      </c>
      <c r="T208" s="201"/>
      <c r="U208" s="198" t="str">
        <f t="shared" si="64"/>
        <v/>
      </c>
      <c r="V208" s="201"/>
      <c r="W208" s="198" t="str">
        <f t="shared" si="65"/>
        <v/>
      </c>
      <c r="X208" s="201"/>
      <c r="Y208" s="198" t="str">
        <f t="shared" si="66"/>
        <v/>
      </c>
      <c r="Z208" s="201"/>
      <c r="AA208" s="198" t="str">
        <f t="shared" si="67"/>
        <v/>
      </c>
      <c r="AB208" s="201"/>
      <c r="AC208" s="198" t="str">
        <f t="shared" si="68"/>
        <v/>
      </c>
      <c r="AD208" s="201"/>
      <c r="AE208" s="198" t="str">
        <f t="shared" si="69"/>
        <v/>
      </c>
      <c r="AF208" s="201"/>
      <c r="AG208" s="198" t="str">
        <f t="shared" si="70"/>
        <v/>
      </c>
      <c r="AH208" s="201"/>
      <c r="AI208" s="198" t="str">
        <f t="shared" si="71"/>
        <v/>
      </c>
      <c r="AJ208" s="201"/>
      <c r="AK208" s="198" t="str">
        <f t="shared" si="72"/>
        <v/>
      </c>
      <c r="AL208" s="201"/>
      <c r="AM208" s="198" t="str">
        <f t="shared" si="73"/>
        <v/>
      </c>
      <c r="AN208" s="201">
        <v>182</v>
      </c>
      <c r="AO208" s="198">
        <f t="shared" si="74"/>
        <v>101.11111111111111</v>
      </c>
      <c r="AP208" s="201">
        <v>1466</v>
      </c>
      <c r="AQ208" s="198">
        <f t="shared" si="75"/>
        <v>814.44444444444446</v>
      </c>
    </row>
    <row r="209" spans="1:43">
      <c r="A209" s="200"/>
      <c r="B209">
        <v>0.96</v>
      </c>
      <c r="D209" s="201"/>
      <c r="E209" s="198" t="str">
        <f t="shared" si="57"/>
        <v/>
      </c>
      <c r="F209" s="201"/>
      <c r="G209" s="198" t="str">
        <f t="shared" si="57"/>
        <v/>
      </c>
      <c r="H209" s="201"/>
      <c r="I209" s="198" t="str">
        <f t="shared" si="58"/>
        <v/>
      </c>
      <c r="J209" s="201"/>
      <c r="K209" s="198" t="str">
        <f t="shared" si="59"/>
        <v/>
      </c>
      <c r="L209" s="201"/>
      <c r="M209" s="198" t="str">
        <f t="shared" si="60"/>
        <v/>
      </c>
      <c r="N209" s="201"/>
      <c r="O209" s="198" t="str">
        <f t="shared" si="61"/>
        <v/>
      </c>
      <c r="P209" s="201">
        <v>2045</v>
      </c>
      <c r="Q209" s="198">
        <f t="shared" si="62"/>
        <v>2130.2083333333335</v>
      </c>
      <c r="R209" s="201"/>
      <c r="S209" s="198" t="str">
        <f t="shared" si="63"/>
        <v/>
      </c>
      <c r="T209" s="201"/>
      <c r="U209" s="198" t="str">
        <f t="shared" si="64"/>
        <v/>
      </c>
      <c r="V209" s="201"/>
      <c r="W209" s="198" t="str">
        <f t="shared" si="65"/>
        <v/>
      </c>
      <c r="X209" s="201"/>
      <c r="Y209" s="198" t="str">
        <f t="shared" si="66"/>
        <v/>
      </c>
      <c r="Z209" s="201"/>
      <c r="AA209" s="198" t="str">
        <f t="shared" si="67"/>
        <v/>
      </c>
      <c r="AB209" s="201"/>
      <c r="AC209" s="198" t="str">
        <f t="shared" si="68"/>
        <v/>
      </c>
      <c r="AD209" s="201"/>
      <c r="AE209" s="198" t="str">
        <f t="shared" si="69"/>
        <v/>
      </c>
      <c r="AF209" s="201"/>
      <c r="AG209" s="198" t="str">
        <f t="shared" si="70"/>
        <v/>
      </c>
      <c r="AH209" s="201"/>
      <c r="AI209" s="198" t="str">
        <f t="shared" si="71"/>
        <v/>
      </c>
      <c r="AJ209" s="201"/>
      <c r="AK209" s="198" t="str">
        <f t="shared" si="72"/>
        <v/>
      </c>
      <c r="AL209" s="201"/>
      <c r="AM209" s="198" t="str">
        <f t="shared" si="73"/>
        <v/>
      </c>
      <c r="AN209" s="201"/>
      <c r="AO209" s="198" t="str">
        <f t="shared" si="74"/>
        <v/>
      </c>
      <c r="AP209" s="201">
        <v>2045</v>
      </c>
      <c r="AQ209" s="198">
        <f t="shared" si="75"/>
        <v>2130.2083333333335</v>
      </c>
    </row>
    <row r="210" spans="1:43">
      <c r="A210" s="200"/>
      <c r="B210">
        <v>0.4</v>
      </c>
      <c r="D210" s="201"/>
      <c r="E210" s="198" t="str">
        <f t="shared" si="57"/>
        <v/>
      </c>
      <c r="F210" s="201"/>
      <c r="G210" s="198" t="str">
        <f t="shared" si="57"/>
        <v/>
      </c>
      <c r="H210" s="201"/>
      <c r="I210" s="198" t="str">
        <f t="shared" si="58"/>
        <v/>
      </c>
      <c r="J210" s="201">
        <v>2100</v>
      </c>
      <c r="K210" s="198">
        <f t="shared" si="59"/>
        <v>5250</v>
      </c>
      <c r="L210" s="201"/>
      <c r="M210" s="198" t="str">
        <f t="shared" si="60"/>
        <v/>
      </c>
      <c r="N210" s="201"/>
      <c r="O210" s="198" t="str">
        <f t="shared" si="61"/>
        <v/>
      </c>
      <c r="P210" s="201"/>
      <c r="Q210" s="198" t="str">
        <f t="shared" si="62"/>
        <v/>
      </c>
      <c r="R210" s="201"/>
      <c r="S210" s="198" t="str">
        <f t="shared" si="63"/>
        <v/>
      </c>
      <c r="T210" s="201"/>
      <c r="U210" s="198" t="str">
        <f t="shared" si="64"/>
        <v/>
      </c>
      <c r="V210" s="201"/>
      <c r="W210" s="198" t="str">
        <f t="shared" si="65"/>
        <v/>
      </c>
      <c r="X210" s="201"/>
      <c r="Y210" s="198" t="str">
        <f t="shared" si="66"/>
        <v/>
      </c>
      <c r="Z210" s="201"/>
      <c r="AA210" s="198" t="str">
        <f t="shared" si="67"/>
        <v/>
      </c>
      <c r="AB210" s="201"/>
      <c r="AC210" s="198" t="str">
        <f t="shared" si="68"/>
        <v/>
      </c>
      <c r="AD210" s="201">
        <v>12600</v>
      </c>
      <c r="AE210" s="198">
        <f t="shared" si="69"/>
        <v>31500</v>
      </c>
      <c r="AF210" s="201"/>
      <c r="AG210" s="198" t="str">
        <f t="shared" si="70"/>
        <v/>
      </c>
      <c r="AH210" s="201"/>
      <c r="AI210" s="198" t="str">
        <f t="shared" si="71"/>
        <v/>
      </c>
      <c r="AJ210" s="201"/>
      <c r="AK210" s="198" t="str">
        <f t="shared" si="72"/>
        <v/>
      </c>
      <c r="AL210" s="201"/>
      <c r="AM210" s="198" t="str">
        <f t="shared" si="73"/>
        <v/>
      </c>
      <c r="AN210" s="201">
        <v>45</v>
      </c>
      <c r="AO210" s="198">
        <f t="shared" si="74"/>
        <v>112.5</v>
      </c>
      <c r="AP210" s="201">
        <v>14745</v>
      </c>
      <c r="AQ210" s="198">
        <f t="shared" si="75"/>
        <v>36862.5</v>
      </c>
    </row>
    <row r="211" spans="1:43">
      <c r="A211" s="200"/>
      <c r="B211">
        <v>0.2</v>
      </c>
      <c r="D211" s="201"/>
      <c r="E211" s="198" t="str">
        <f t="shared" si="57"/>
        <v/>
      </c>
      <c r="F211" s="201"/>
      <c r="G211" s="198" t="str">
        <f t="shared" si="57"/>
        <v/>
      </c>
      <c r="H211" s="201"/>
      <c r="I211" s="198" t="str">
        <f t="shared" si="58"/>
        <v/>
      </c>
      <c r="J211" s="201"/>
      <c r="K211" s="198" t="str">
        <f t="shared" si="59"/>
        <v/>
      </c>
      <c r="L211" s="201"/>
      <c r="M211" s="198" t="str">
        <f t="shared" si="60"/>
        <v/>
      </c>
      <c r="N211" s="201"/>
      <c r="O211" s="198" t="str">
        <f t="shared" si="61"/>
        <v/>
      </c>
      <c r="P211" s="201"/>
      <c r="Q211" s="198" t="str">
        <f t="shared" si="62"/>
        <v/>
      </c>
      <c r="R211" s="201"/>
      <c r="S211" s="198" t="str">
        <f t="shared" si="63"/>
        <v/>
      </c>
      <c r="T211" s="201"/>
      <c r="U211" s="198" t="str">
        <f t="shared" si="64"/>
        <v/>
      </c>
      <c r="V211" s="201"/>
      <c r="W211" s="198" t="str">
        <f t="shared" si="65"/>
        <v/>
      </c>
      <c r="X211" s="201"/>
      <c r="Y211" s="198" t="str">
        <f t="shared" si="66"/>
        <v/>
      </c>
      <c r="Z211" s="201"/>
      <c r="AA211" s="198" t="str">
        <f t="shared" si="67"/>
        <v/>
      </c>
      <c r="AB211" s="201"/>
      <c r="AC211" s="198" t="str">
        <f t="shared" si="68"/>
        <v/>
      </c>
      <c r="AD211" s="201"/>
      <c r="AE211" s="198" t="str">
        <f t="shared" si="69"/>
        <v/>
      </c>
      <c r="AF211" s="201"/>
      <c r="AG211" s="198" t="str">
        <f t="shared" si="70"/>
        <v/>
      </c>
      <c r="AH211" s="201"/>
      <c r="AI211" s="198" t="str">
        <f t="shared" si="71"/>
        <v/>
      </c>
      <c r="AJ211" s="201"/>
      <c r="AK211" s="198" t="str">
        <f t="shared" si="72"/>
        <v/>
      </c>
      <c r="AL211" s="201"/>
      <c r="AM211" s="198" t="str">
        <f t="shared" si="73"/>
        <v/>
      </c>
      <c r="AN211" s="201"/>
      <c r="AO211" s="198" t="str">
        <f t="shared" si="74"/>
        <v/>
      </c>
      <c r="AP211" s="201"/>
      <c r="AQ211" s="198" t="str">
        <f t="shared" si="75"/>
        <v/>
      </c>
    </row>
    <row r="212" spans="1:43">
      <c r="A212" s="190" t="s">
        <v>282</v>
      </c>
      <c r="B212" s="196">
        <v>2.2200000000000002</v>
      </c>
      <c r="D212" s="197"/>
      <c r="E212" s="198" t="str">
        <f t="shared" si="57"/>
        <v/>
      </c>
      <c r="F212" s="197"/>
      <c r="G212" s="198" t="str">
        <f t="shared" si="57"/>
        <v/>
      </c>
      <c r="H212" s="197"/>
      <c r="I212" s="198" t="str">
        <f t="shared" si="58"/>
        <v/>
      </c>
      <c r="J212" s="197">
        <v>140</v>
      </c>
      <c r="K212" s="198">
        <f t="shared" si="59"/>
        <v>63.063063063063055</v>
      </c>
      <c r="L212" s="197"/>
      <c r="M212" s="198" t="str">
        <f t="shared" si="60"/>
        <v/>
      </c>
      <c r="N212" s="197"/>
      <c r="O212" s="198" t="str">
        <f t="shared" si="61"/>
        <v/>
      </c>
      <c r="P212" s="197"/>
      <c r="Q212" s="198" t="str">
        <f t="shared" si="62"/>
        <v/>
      </c>
      <c r="R212" s="197"/>
      <c r="S212" s="198" t="str">
        <f t="shared" si="63"/>
        <v/>
      </c>
      <c r="T212" s="197"/>
      <c r="U212" s="198" t="str">
        <f t="shared" si="64"/>
        <v/>
      </c>
      <c r="V212" s="197"/>
      <c r="W212" s="198" t="str">
        <f t="shared" si="65"/>
        <v/>
      </c>
      <c r="X212" s="197"/>
      <c r="Y212" s="198" t="str">
        <f t="shared" si="66"/>
        <v/>
      </c>
      <c r="Z212" s="197"/>
      <c r="AA212" s="198" t="str">
        <f t="shared" si="67"/>
        <v/>
      </c>
      <c r="AB212" s="197"/>
      <c r="AC212" s="198" t="str">
        <f t="shared" si="68"/>
        <v/>
      </c>
      <c r="AD212" s="197"/>
      <c r="AE212" s="198" t="str">
        <f t="shared" si="69"/>
        <v/>
      </c>
      <c r="AF212" s="197"/>
      <c r="AG212" s="198" t="str">
        <f t="shared" si="70"/>
        <v/>
      </c>
      <c r="AH212" s="197"/>
      <c r="AI212" s="198" t="str">
        <f t="shared" si="71"/>
        <v/>
      </c>
      <c r="AJ212" s="197"/>
      <c r="AK212" s="198" t="str">
        <f t="shared" si="72"/>
        <v/>
      </c>
      <c r="AL212" s="197"/>
      <c r="AM212" s="198" t="str">
        <f t="shared" si="73"/>
        <v/>
      </c>
      <c r="AN212" s="197"/>
      <c r="AO212" s="198" t="str">
        <f t="shared" si="74"/>
        <v/>
      </c>
      <c r="AP212" s="197">
        <v>140</v>
      </c>
      <c r="AQ212" s="198">
        <f t="shared" si="75"/>
        <v>63.063063063063055</v>
      </c>
    </row>
    <row r="213" spans="1:43">
      <c r="A213" s="200"/>
      <c r="D213" s="201"/>
      <c r="E213" s="198" t="str">
        <f t="shared" si="57"/>
        <v/>
      </c>
      <c r="F213" s="201"/>
      <c r="G213" s="198" t="str">
        <f t="shared" si="57"/>
        <v/>
      </c>
      <c r="H213" s="201"/>
      <c r="I213" s="198" t="str">
        <f t="shared" si="58"/>
        <v/>
      </c>
      <c r="J213" s="201">
        <v>3455</v>
      </c>
      <c r="K213" s="198" t="str">
        <f t="shared" si="59"/>
        <v/>
      </c>
      <c r="L213" s="201"/>
      <c r="M213" s="198" t="str">
        <f t="shared" si="60"/>
        <v/>
      </c>
      <c r="N213" s="201"/>
      <c r="O213" s="198" t="str">
        <f t="shared" si="61"/>
        <v/>
      </c>
      <c r="P213" s="201"/>
      <c r="Q213" s="198" t="str">
        <f t="shared" si="62"/>
        <v/>
      </c>
      <c r="R213" s="201"/>
      <c r="S213" s="198" t="str">
        <f t="shared" si="63"/>
        <v/>
      </c>
      <c r="T213" s="201"/>
      <c r="U213" s="198" t="str">
        <f t="shared" si="64"/>
        <v/>
      </c>
      <c r="V213" s="201"/>
      <c r="W213" s="198" t="str">
        <f t="shared" si="65"/>
        <v/>
      </c>
      <c r="X213" s="201"/>
      <c r="Y213" s="198" t="str">
        <f t="shared" si="66"/>
        <v/>
      </c>
      <c r="Z213" s="201"/>
      <c r="AA213" s="198" t="str">
        <f t="shared" si="67"/>
        <v/>
      </c>
      <c r="AB213" s="201">
        <v>123056</v>
      </c>
      <c r="AC213" s="198" t="str">
        <f t="shared" si="68"/>
        <v/>
      </c>
      <c r="AD213" s="201"/>
      <c r="AE213" s="198" t="str">
        <f t="shared" si="69"/>
        <v/>
      </c>
      <c r="AF213" s="201"/>
      <c r="AG213" s="198" t="str">
        <f t="shared" si="70"/>
        <v/>
      </c>
      <c r="AH213" s="201"/>
      <c r="AI213" s="198" t="str">
        <f t="shared" si="71"/>
        <v/>
      </c>
      <c r="AJ213" s="201"/>
      <c r="AK213" s="198" t="str">
        <f t="shared" si="72"/>
        <v/>
      </c>
      <c r="AL213" s="201"/>
      <c r="AM213" s="198" t="str">
        <f t="shared" si="73"/>
        <v/>
      </c>
      <c r="AN213" s="201"/>
      <c r="AO213" s="198" t="str">
        <f t="shared" si="74"/>
        <v/>
      </c>
      <c r="AP213" s="201">
        <v>126511</v>
      </c>
      <c r="AQ213" s="198" t="str">
        <f t="shared" si="75"/>
        <v/>
      </c>
    </row>
    <row r="214" spans="1:43">
      <c r="A214" s="200"/>
      <c r="D214" s="201"/>
      <c r="E214" s="198" t="str">
        <f t="shared" si="57"/>
        <v/>
      </c>
      <c r="F214" s="201"/>
      <c r="G214" s="198" t="str">
        <f t="shared" si="57"/>
        <v/>
      </c>
      <c r="H214" s="201"/>
      <c r="I214" s="198" t="str">
        <f t="shared" si="58"/>
        <v/>
      </c>
      <c r="J214" s="201"/>
      <c r="K214" s="198" t="str">
        <f t="shared" si="59"/>
        <v/>
      </c>
      <c r="L214" s="201"/>
      <c r="M214" s="198" t="str">
        <f t="shared" si="60"/>
        <v/>
      </c>
      <c r="N214" s="201"/>
      <c r="O214" s="198" t="str">
        <f t="shared" si="61"/>
        <v/>
      </c>
      <c r="P214" s="201"/>
      <c r="Q214" s="198" t="str">
        <f t="shared" si="62"/>
        <v/>
      </c>
      <c r="R214" s="201"/>
      <c r="S214" s="198" t="str">
        <f t="shared" si="63"/>
        <v/>
      </c>
      <c r="T214" s="201"/>
      <c r="U214" s="198" t="str">
        <f t="shared" si="64"/>
        <v/>
      </c>
      <c r="V214" s="201"/>
      <c r="W214" s="198" t="str">
        <f t="shared" si="65"/>
        <v/>
      </c>
      <c r="X214" s="201"/>
      <c r="Y214" s="198" t="str">
        <f t="shared" si="66"/>
        <v/>
      </c>
      <c r="Z214" s="201"/>
      <c r="AA214" s="198" t="str">
        <f t="shared" si="67"/>
        <v/>
      </c>
      <c r="AB214" s="201">
        <v>6256</v>
      </c>
      <c r="AC214" s="198" t="str">
        <f t="shared" si="68"/>
        <v/>
      </c>
      <c r="AD214" s="201"/>
      <c r="AE214" s="198" t="str">
        <f t="shared" si="69"/>
        <v/>
      </c>
      <c r="AF214" s="201"/>
      <c r="AG214" s="198" t="str">
        <f t="shared" si="70"/>
        <v/>
      </c>
      <c r="AH214" s="201"/>
      <c r="AI214" s="198" t="str">
        <f t="shared" si="71"/>
        <v/>
      </c>
      <c r="AJ214" s="201"/>
      <c r="AK214" s="198" t="str">
        <f t="shared" si="72"/>
        <v/>
      </c>
      <c r="AL214" s="201"/>
      <c r="AM214" s="198" t="str">
        <f t="shared" si="73"/>
        <v/>
      </c>
      <c r="AN214" s="201"/>
      <c r="AO214" s="198" t="str">
        <f t="shared" si="74"/>
        <v/>
      </c>
      <c r="AP214" s="201">
        <v>6256</v>
      </c>
      <c r="AQ214" s="198" t="str">
        <f t="shared" si="75"/>
        <v/>
      </c>
    </row>
    <row r="215" spans="1:43">
      <c r="A215" s="200"/>
      <c r="B215">
        <v>1.17</v>
      </c>
      <c r="D215" s="201"/>
      <c r="E215" s="198" t="str">
        <f t="shared" si="57"/>
        <v/>
      </c>
      <c r="F215" s="201"/>
      <c r="G215" s="198" t="str">
        <f t="shared" si="57"/>
        <v/>
      </c>
      <c r="H215" s="201"/>
      <c r="I215" s="198" t="str">
        <f t="shared" si="58"/>
        <v/>
      </c>
      <c r="J215" s="201">
        <v>12803</v>
      </c>
      <c r="K215" s="198">
        <f t="shared" si="59"/>
        <v>10942.735042735043</v>
      </c>
      <c r="L215" s="201"/>
      <c r="M215" s="198" t="str">
        <f t="shared" si="60"/>
        <v/>
      </c>
      <c r="N215" s="201"/>
      <c r="O215" s="198" t="str">
        <f t="shared" si="61"/>
        <v/>
      </c>
      <c r="P215" s="201"/>
      <c r="Q215" s="198" t="str">
        <f t="shared" si="62"/>
        <v/>
      </c>
      <c r="R215" s="201"/>
      <c r="S215" s="198" t="str">
        <f t="shared" si="63"/>
        <v/>
      </c>
      <c r="T215" s="201"/>
      <c r="U215" s="198" t="str">
        <f t="shared" si="64"/>
        <v/>
      </c>
      <c r="V215" s="201"/>
      <c r="W215" s="198" t="str">
        <f t="shared" si="65"/>
        <v/>
      </c>
      <c r="X215" s="201"/>
      <c r="Y215" s="198" t="str">
        <f t="shared" si="66"/>
        <v/>
      </c>
      <c r="Z215" s="201"/>
      <c r="AA215" s="198" t="str">
        <f t="shared" si="67"/>
        <v/>
      </c>
      <c r="AB215" s="201"/>
      <c r="AC215" s="198" t="str">
        <f t="shared" si="68"/>
        <v/>
      </c>
      <c r="AD215" s="201"/>
      <c r="AE215" s="198" t="str">
        <f t="shared" si="69"/>
        <v/>
      </c>
      <c r="AF215" s="201"/>
      <c r="AG215" s="198" t="str">
        <f t="shared" si="70"/>
        <v/>
      </c>
      <c r="AH215" s="201"/>
      <c r="AI215" s="198" t="str">
        <f t="shared" si="71"/>
        <v/>
      </c>
      <c r="AJ215" s="201"/>
      <c r="AK215" s="198" t="str">
        <f t="shared" si="72"/>
        <v/>
      </c>
      <c r="AL215" s="201"/>
      <c r="AM215" s="198" t="str">
        <f t="shared" si="73"/>
        <v/>
      </c>
      <c r="AN215" s="201"/>
      <c r="AO215" s="198" t="str">
        <f t="shared" si="74"/>
        <v/>
      </c>
      <c r="AP215" s="201">
        <v>12803</v>
      </c>
      <c r="AQ215" s="198">
        <f t="shared" si="75"/>
        <v>10942.735042735043</v>
      </c>
    </row>
    <row r="216" spans="1:43">
      <c r="A216" s="190" t="s">
        <v>283</v>
      </c>
      <c r="B216" s="196">
        <v>3</v>
      </c>
      <c r="D216" s="197">
        <v>43175</v>
      </c>
      <c r="E216" s="198">
        <f t="shared" si="57"/>
        <v>14391.666666666666</v>
      </c>
      <c r="F216" s="197">
        <v>1149</v>
      </c>
      <c r="G216" s="198">
        <f t="shared" si="57"/>
        <v>383</v>
      </c>
      <c r="H216" s="197"/>
      <c r="I216" s="198" t="str">
        <f t="shared" si="58"/>
        <v/>
      </c>
      <c r="J216" s="197"/>
      <c r="K216" s="198" t="str">
        <f t="shared" si="59"/>
        <v/>
      </c>
      <c r="L216" s="197"/>
      <c r="M216" s="198" t="str">
        <f t="shared" si="60"/>
        <v/>
      </c>
      <c r="N216" s="197">
        <v>75</v>
      </c>
      <c r="O216" s="198">
        <f t="shared" si="61"/>
        <v>25</v>
      </c>
      <c r="P216" s="197">
        <v>2715</v>
      </c>
      <c r="Q216" s="198">
        <f t="shared" si="62"/>
        <v>905</v>
      </c>
      <c r="R216" s="197"/>
      <c r="S216" s="198" t="str">
        <f t="shared" si="63"/>
        <v/>
      </c>
      <c r="T216" s="197">
        <v>1963</v>
      </c>
      <c r="U216" s="198">
        <f t="shared" si="64"/>
        <v>654.33333333333337</v>
      </c>
      <c r="V216" s="197">
        <v>144</v>
      </c>
      <c r="W216" s="198">
        <f t="shared" si="65"/>
        <v>48</v>
      </c>
      <c r="X216" s="197"/>
      <c r="Y216" s="198" t="str">
        <f t="shared" si="66"/>
        <v/>
      </c>
      <c r="Z216" s="197"/>
      <c r="AA216" s="198" t="str">
        <f t="shared" si="67"/>
        <v/>
      </c>
      <c r="AB216" s="197"/>
      <c r="AC216" s="198" t="str">
        <f t="shared" si="68"/>
        <v/>
      </c>
      <c r="AD216" s="197"/>
      <c r="AE216" s="198" t="str">
        <f t="shared" si="69"/>
        <v/>
      </c>
      <c r="AF216" s="197"/>
      <c r="AG216" s="198" t="str">
        <f t="shared" si="70"/>
        <v/>
      </c>
      <c r="AH216" s="197"/>
      <c r="AI216" s="198" t="str">
        <f t="shared" si="71"/>
        <v/>
      </c>
      <c r="AJ216" s="197">
        <v>7183</v>
      </c>
      <c r="AK216" s="198">
        <f t="shared" si="72"/>
        <v>2394.3333333333335</v>
      </c>
      <c r="AL216" s="197"/>
      <c r="AM216" s="198" t="str">
        <f t="shared" si="73"/>
        <v/>
      </c>
      <c r="AN216" s="197"/>
      <c r="AO216" s="198" t="str">
        <f t="shared" si="74"/>
        <v/>
      </c>
      <c r="AP216" s="197">
        <v>13229</v>
      </c>
      <c r="AQ216" s="198">
        <f t="shared" si="75"/>
        <v>4409.666666666667</v>
      </c>
    </row>
    <row r="217" spans="1:43">
      <c r="A217" s="200"/>
      <c r="B217">
        <v>0.5</v>
      </c>
      <c r="D217" s="201"/>
      <c r="E217" s="198" t="str">
        <f t="shared" si="57"/>
        <v/>
      </c>
      <c r="F217" s="201"/>
      <c r="G217" s="198" t="str">
        <f t="shared" si="57"/>
        <v/>
      </c>
      <c r="H217" s="201"/>
      <c r="I217" s="198" t="str">
        <f t="shared" si="58"/>
        <v/>
      </c>
      <c r="J217" s="201"/>
      <c r="K217" s="198" t="str">
        <f t="shared" si="59"/>
        <v/>
      </c>
      <c r="L217" s="201"/>
      <c r="M217" s="198" t="str">
        <f t="shared" si="60"/>
        <v/>
      </c>
      <c r="N217" s="201"/>
      <c r="O217" s="198" t="str">
        <f t="shared" si="61"/>
        <v/>
      </c>
      <c r="P217" s="201"/>
      <c r="Q217" s="198" t="str">
        <f t="shared" si="62"/>
        <v/>
      </c>
      <c r="R217" s="201"/>
      <c r="S217" s="198" t="str">
        <f t="shared" si="63"/>
        <v/>
      </c>
      <c r="T217" s="201"/>
      <c r="U217" s="198" t="str">
        <f t="shared" si="64"/>
        <v/>
      </c>
      <c r="V217" s="201"/>
      <c r="W217" s="198" t="str">
        <f t="shared" si="65"/>
        <v/>
      </c>
      <c r="X217" s="201"/>
      <c r="Y217" s="198" t="str">
        <f t="shared" si="66"/>
        <v/>
      </c>
      <c r="Z217" s="201"/>
      <c r="AA217" s="198" t="str">
        <f t="shared" si="67"/>
        <v/>
      </c>
      <c r="AB217" s="201"/>
      <c r="AC217" s="198" t="str">
        <f t="shared" si="68"/>
        <v/>
      </c>
      <c r="AD217" s="201"/>
      <c r="AE217" s="198" t="str">
        <f t="shared" si="69"/>
        <v/>
      </c>
      <c r="AF217" s="201"/>
      <c r="AG217" s="198" t="str">
        <f t="shared" si="70"/>
        <v/>
      </c>
      <c r="AH217" s="201"/>
      <c r="AI217" s="198" t="str">
        <f t="shared" si="71"/>
        <v/>
      </c>
      <c r="AJ217" s="201"/>
      <c r="AK217" s="198" t="str">
        <f t="shared" si="72"/>
        <v/>
      </c>
      <c r="AL217" s="201"/>
      <c r="AM217" s="198" t="str">
        <f t="shared" si="73"/>
        <v/>
      </c>
      <c r="AN217" s="201"/>
      <c r="AO217" s="198" t="str">
        <f t="shared" si="74"/>
        <v/>
      </c>
      <c r="AP217" s="201"/>
      <c r="AQ217" s="198" t="str">
        <f t="shared" si="75"/>
        <v/>
      </c>
    </row>
    <row r="218" spans="1:43">
      <c r="A218" s="200"/>
      <c r="D218" s="201"/>
      <c r="E218" s="198" t="str">
        <f t="shared" si="57"/>
        <v/>
      </c>
      <c r="F218" s="201"/>
      <c r="G218" s="198" t="str">
        <f t="shared" si="57"/>
        <v/>
      </c>
      <c r="H218" s="201"/>
      <c r="I218" s="198" t="str">
        <f t="shared" si="58"/>
        <v/>
      </c>
      <c r="J218" s="201"/>
      <c r="K218" s="198" t="str">
        <f t="shared" si="59"/>
        <v/>
      </c>
      <c r="L218" s="201"/>
      <c r="M218" s="198" t="str">
        <f t="shared" si="60"/>
        <v/>
      </c>
      <c r="N218" s="201"/>
      <c r="O218" s="198" t="str">
        <f t="shared" si="61"/>
        <v/>
      </c>
      <c r="P218" s="201"/>
      <c r="Q218" s="198" t="str">
        <f t="shared" si="62"/>
        <v/>
      </c>
      <c r="R218" s="201"/>
      <c r="S218" s="198" t="str">
        <f t="shared" si="63"/>
        <v/>
      </c>
      <c r="T218" s="201"/>
      <c r="U218" s="198" t="str">
        <f t="shared" si="64"/>
        <v/>
      </c>
      <c r="V218" s="201"/>
      <c r="W218" s="198" t="str">
        <f t="shared" si="65"/>
        <v/>
      </c>
      <c r="X218" s="201"/>
      <c r="Y218" s="198" t="str">
        <f t="shared" si="66"/>
        <v/>
      </c>
      <c r="Z218" s="201"/>
      <c r="AA218" s="198" t="str">
        <f t="shared" si="67"/>
        <v/>
      </c>
      <c r="AB218" s="201"/>
      <c r="AC218" s="198" t="str">
        <f t="shared" si="68"/>
        <v/>
      </c>
      <c r="AD218" s="201"/>
      <c r="AE218" s="198" t="str">
        <f t="shared" si="69"/>
        <v/>
      </c>
      <c r="AF218" s="201"/>
      <c r="AG218" s="198" t="str">
        <f t="shared" si="70"/>
        <v/>
      </c>
      <c r="AH218" s="201"/>
      <c r="AI218" s="198" t="str">
        <f t="shared" si="71"/>
        <v/>
      </c>
      <c r="AJ218" s="201"/>
      <c r="AK218" s="198" t="str">
        <f t="shared" si="72"/>
        <v/>
      </c>
      <c r="AL218" s="201"/>
      <c r="AM218" s="198" t="str">
        <f t="shared" si="73"/>
        <v/>
      </c>
      <c r="AN218" s="201"/>
      <c r="AO218" s="198" t="str">
        <f t="shared" si="74"/>
        <v/>
      </c>
      <c r="AP218" s="201"/>
      <c r="AQ218" s="198" t="str">
        <f t="shared" si="75"/>
        <v/>
      </c>
    </row>
    <row r="219" spans="1:43">
      <c r="A219" s="200"/>
      <c r="B219">
        <v>0.25</v>
      </c>
      <c r="D219" s="201"/>
      <c r="E219" s="198" t="str">
        <f t="shared" si="57"/>
        <v/>
      </c>
      <c r="F219" s="201"/>
      <c r="G219" s="198" t="str">
        <f t="shared" si="57"/>
        <v/>
      </c>
      <c r="H219" s="201"/>
      <c r="I219" s="198" t="str">
        <f t="shared" si="58"/>
        <v/>
      </c>
      <c r="J219" s="201"/>
      <c r="K219" s="198" t="str">
        <f t="shared" si="59"/>
        <v/>
      </c>
      <c r="L219" s="201"/>
      <c r="M219" s="198" t="str">
        <f t="shared" si="60"/>
        <v/>
      </c>
      <c r="N219" s="201"/>
      <c r="O219" s="198" t="str">
        <f t="shared" si="61"/>
        <v/>
      </c>
      <c r="P219" s="201"/>
      <c r="Q219" s="198" t="str">
        <f t="shared" si="62"/>
        <v/>
      </c>
      <c r="R219" s="201"/>
      <c r="S219" s="198" t="str">
        <f t="shared" si="63"/>
        <v/>
      </c>
      <c r="T219" s="201"/>
      <c r="U219" s="198" t="str">
        <f t="shared" si="64"/>
        <v/>
      </c>
      <c r="V219" s="201"/>
      <c r="W219" s="198" t="str">
        <f t="shared" si="65"/>
        <v/>
      </c>
      <c r="X219" s="201"/>
      <c r="Y219" s="198" t="str">
        <f t="shared" si="66"/>
        <v/>
      </c>
      <c r="Z219" s="201"/>
      <c r="AA219" s="198" t="str">
        <f t="shared" si="67"/>
        <v/>
      </c>
      <c r="AB219" s="201"/>
      <c r="AC219" s="198" t="str">
        <f t="shared" si="68"/>
        <v/>
      </c>
      <c r="AD219" s="201"/>
      <c r="AE219" s="198" t="str">
        <f t="shared" si="69"/>
        <v/>
      </c>
      <c r="AF219" s="201"/>
      <c r="AG219" s="198" t="str">
        <f t="shared" si="70"/>
        <v/>
      </c>
      <c r="AH219" s="201"/>
      <c r="AI219" s="198" t="str">
        <f t="shared" si="71"/>
        <v/>
      </c>
      <c r="AJ219" s="201"/>
      <c r="AK219" s="198" t="str">
        <f t="shared" si="72"/>
        <v/>
      </c>
      <c r="AL219" s="201"/>
      <c r="AM219" s="198" t="str">
        <f t="shared" si="73"/>
        <v/>
      </c>
      <c r="AN219" s="201"/>
      <c r="AO219" s="198" t="str">
        <f t="shared" si="74"/>
        <v/>
      </c>
      <c r="AP219" s="201"/>
      <c r="AQ219" s="198" t="str">
        <f t="shared" si="75"/>
        <v/>
      </c>
    </row>
    <row r="220" spans="1:43">
      <c r="A220" s="200"/>
      <c r="B220">
        <v>0.75</v>
      </c>
      <c r="D220" s="201">
        <v>15630</v>
      </c>
      <c r="E220" s="198">
        <f t="shared" si="57"/>
        <v>20840</v>
      </c>
      <c r="F220" s="201"/>
      <c r="G220" s="198" t="str">
        <f t="shared" si="57"/>
        <v/>
      </c>
      <c r="H220" s="201"/>
      <c r="I220" s="198" t="str">
        <f t="shared" si="58"/>
        <v/>
      </c>
      <c r="J220" s="201"/>
      <c r="K220" s="198" t="str">
        <f t="shared" si="59"/>
        <v/>
      </c>
      <c r="L220" s="201"/>
      <c r="M220" s="198" t="str">
        <f t="shared" si="60"/>
        <v/>
      </c>
      <c r="N220" s="201"/>
      <c r="O220" s="198" t="str">
        <f t="shared" si="61"/>
        <v/>
      </c>
      <c r="P220" s="201">
        <v>1042</v>
      </c>
      <c r="Q220" s="198">
        <f t="shared" si="62"/>
        <v>1389.3333333333333</v>
      </c>
      <c r="R220" s="201"/>
      <c r="S220" s="198" t="str">
        <f t="shared" si="63"/>
        <v/>
      </c>
      <c r="T220" s="201"/>
      <c r="U220" s="198" t="str">
        <f t="shared" si="64"/>
        <v/>
      </c>
      <c r="V220" s="201"/>
      <c r="W220" s="198" t="str">
        <f t="shared" si="65"/>
        <v/>
      </c>
      <c r="X220" s="201"/>
      <c r="Y220" s="198" t="str">
        <f t="shared" si="66"/>
        <v/>
      </c>
      <c r="Z220" s="201"/>
      <c r="AA220" s="198" t="str">
        <f t="shared" si="67"/>
        <v/>
      </c>
      <c r="AB220" s="201"/>
      <c r="AC220" s="198" t="str">
        <f t="shared" si="68"/>
        <v/>
      </c>
      <c r="AD220" s="201"/>
      <c r="AE220" s="198" t="str">
        <f t="shared" si="69"/>
        <v/>
      </c>
      <c r="AF220" s="201"/>
      <c r="AG220" s="198" t="str">
        <f t="shared" si="70"/>
        <v/>
      </c>
      <c r="AH220" s="201"/>
      <c r="AI220" s="198" t="str">
        <f t="shared" si="71"/>
        <v/>
      </c>
      <c r="AJ220" s="201">
        <v>10765</v>
      </c>
      <c r="AK220" s="198">
        <f t="shared" si="72"/>
        <v>14353.333333333334</v>
      </c>
      <c r="AL220" s="201"/>
      <c r="AM220" s="198" t="str">
        <f t="shared" si="73"/>
        <v/>
      </c>
      <c r="AN220" s="201"/>
      <c r="AO220" s="198" t="str">
        <f t="shared" si="74"/>
        <v/>
      </c>
      <c r="AP220" s="201">
        <v>11807</v>
      </c>
      <c r="AQ220" s="198">
        <f t="shared" si="75"/>
        <v>15742.666666666666</v>
      </c>
    </row>
    <row r="221" spans="1:43">
      <c r="A221" s="200"/>
      <c r="D221" s="201">
        <v>15050</v>
      </c>
      <c r="E221" s="198" t="str">
        <f t="shared" si="57"/>
        <v/>
      </c>
      <c r="F221" s="201"/>
      <c r="G221" s="198" t="str">
        <f t="shared" si="57"/>
        <v/>
      </c>
      <c r="H221" s="201"/>
      <c r="I221" s="198" t="str">
        <f t="shared" si="58"/>
        <v/>
      </c>
      <c r="J221" s="201">
        <v>42521</v>
      </c>
      <c r="K221" s="198" t="str">
        <f t="shared" si="59"/>
        <v/>
      </c>
      <c r="L221" s="201"/>
      <c r="M221" s="198" t="str">
        <f t="shared" si="60"/>
        <v/>
      </c>
      <c r="N221" s="201"/>
      <c r="O221" s="198" t="str">
        <f t="shared" si="61"/>
        <v/>
      </c>
      <c r="P221" s="201"/>
      <c r="Q221" s="198" t="str">
        <f t="shared" si="62"/>
        <v/>
      </c>
      <c r="R221" s="201"/>
      <c r="S221" s="198" t="str">
        <f t="shared" si="63"/>
        <v/>
      </c>
      <c r="T221" s="201">
        <v>368</v>
      </c>
      <c r="U221" s="198" t="str">
        <f t="shared" si="64"/>
        <v/>
      </c>
      <c r="V221" s="201">
        <v>9115</v>
      </c>
      <c r="W221" s="198" t="str">
        <f t="shared" si="65"/>
        <v/>
      </c>
      <c r="X221" s="201"/>
      <c r="Y221" s="198" t="str">
        <f t="shared" si="66"/>
        <v/>
      </c>
      <c r="Z221" s="201"/>
      <c r="AA221" s="198" t="str">
        <f t="shared" si="67"/>
        <v/>
      </c>
      <c r="AB221" s="201"/>
      <c r="AC221" s="198" t="str">
        <f t="shared" si="68"/>
        <v/>
      </c>
      <c r="AD221" s="201">
        <v>452345</v>
      </c>
      <c r="AE221" s="198" t="str">
        <f t="shared" si="69"/>
        <v/>
      </c>
      <c r="AF221" s="201"/>
      <c r="AG221" s="198" t="str">
        <f t="shared" si="70"/>
        <v/>
      </c>
      <c r="AH221" s="201"/>
      <c r="AI221" s="198" t="str">
        <f t="shared" si="71"/>
        <v/>
      </c>
      <c r="AJ221" s="201"/>
      <c r="AK221" s="198" t="str">
        <f t="shared" si="72"/>
        <v/>
      </c>
      <c r="AL221" s="201"/>
      <c r="AM221" s="198" t="str">
        <f t="shared" si="73"/>
        <v/>
      </c>
      <c r="AN221" s="201"/>
      <c r="AO221" s="198" t="str">
        <f t="shared" si="74"/>
        <v/>
      </c>
      <c r="AP221" s="201">
        <v>504349</v>
      </c>
      <c r="AQ221" s="198" t="str">
        <f t="shared" si="75"/>
        <v/>
      </c>
    </row>
    <row r="222" spans="1:43">
      <c r="A222" s="200"/>
      <c r="B222">
        <v>0.8</v>
      </c>
      <c r="D222" s="201"/>
      <c r="E222" s="198" t="str">
        <f t="shared" si="57"/>
        <v/>
      </c>
      <c r="F222" s="201"/>
      <c r="G222" s="198" t="str">
        <f t="shared" si="57"/>
        <v/>
      </c>
      <c r="H222" s="201"/>
      <c r="I222" s="198" t="str">
        <f t="shared" si="58"/>
        <v/>
      </c>
      <c r="J222" s="201"/>
      <c r="K222" s="198" t="str">
        <f t="shared" si="59"/>
        <v/>
      </c>
      <c r="L222" s="201"/>
      <c r="M222" s="198" t="str">
        <f t="shared" si="60"/>
        <v/>
      </c>
      <c r="N222" s="201"/>
      <c r="O222" s="198" t="str">
        <f t="shared" si="61"/>
        <v/>
      </c>
      <c r="P222" s="201"/>
      <c r="Q222" s="198" t="str">
        <f t="shared" si="62"/>
        <v/>
      </c>
      <c r="R222" s="201"/>
      <c r="S222" s="198" t="str">
        <f t="shared" si="63"/>
        <v/>
      </c>
      <c r="T222" s="201"/>
      <c r="U222" s="198" t="str">
        <f t="shared" si="64"/>
        <v/>
      </c>
      <c r="V222" s="201"/>
      <c r="W222" s="198" t="str">
        <f t="shared" si="65"/>
        <v/>
      </c>
      <c r="X222" s="201"/>
      <c r="Y222" s="198" t="str">
        <f t="shared" si="66"/>
        <v/>
      </c>
      <c r="Z222" s="201"/>
      <c r="AA222" s="198" t="str">
        <f t="shared" si="67"/>
        <v/>
      </c>
      <c r="AB222" s="201"/>
      <c r="AC222" s="198" t="str">
        <f t="shared" si="68"/>
        <v/>
      </c>
      <c r="AD222" s="201"/>
      <c r="AE222" s="198" t="str">
        <f t="shared" si="69"/>
        <v/>
      </c>
      <c r="AF222" s="201"/>
      <c r="AG222" s="198" t="str">
        <f t="shared" si="70"/>
        <v/>
      </c>
      <c r="AH222" s="201"/>
      <c r="AI222" s="198" t="str">
        <f t="shared" si="71"/>
        <v/>
      </c>
      <c r="AJ222" s="201"/>
      <c r="AK222" s="198" t="str">
        <f t="shared" si="72"/>
        <v/>
      </c>
      <c r="AL222" s="201"/>
      <c r="AM222" s="198" t="str">
        <f t="shared" si="73"/>
        <v/>
      </c>
      <c r="AN222" s="201"/>
      <c r="AO222" s="198" t="str">
        <f t="shared" si="74"/>
        <v/>
      </c>
      <c r="AP222" s="201"/>
      <c r="AQ222" s="198" t="str">
        <f t="shared" si="75"/>
        <v/>
      </c>
    </row>
    <row r="223" spans="1:43">
      <c r="A223" s="190" t="s">
        <v>284</v>
      </c>
      <c r="B223" s="196">
        <v>6.0999999999999999E-2</v>
      </c>
      <c r="D223" s="197"/>
      <c r="E223" s="198" t="str">
        <f t="shared" si="57"/>
        <v/>
      </c>
      <c r="F223" s="197"/>
      <c r="G223" s="198" t="str">
        <f t="shared" si="57"/>
        <v/>
      </c>
      <c r="H223" s="197"/>
      <c r="I223" s="198" t="str">
        <f t="shared" si="58"/>
        <v/>
      </c>
      <c r="J223" s="197"/>
      <c r="K223" s="198" t="str">
        <f t="shared" si="59"/>
        <v/>
      </c>
      <c r="L223" s="197"/>
      <c r="M223" s="198" t="str">
        <f t="shared" si="60"/>
        <v/>
      </c>
      <c r="N223" s="197">
        <v>46</v>
      </c>
      <c r="O223" s="198">
        <f t="shared" si="61"/>
        <v>754.09836065573768</v>
      </c>
      <c r="P223" s="197">
        <v>127</v>
      </c>
      <c r="Q223" s="198">
        <f t="shared" si="62"/>
        <v>2081.967213114754</v>
      </c>
      <c r="R223" s="197"/>
      <c r="S223" s="198" t="str">
        <f t="shared" si="63"/>
        <v/>
      </c>
      <c r="T223" s="197"/>
      <c r="U223" s="198" t="str">
        <f t="shared" si="64"/>
        <v/>
      </c>
      <c r="V223" s="197"/>
      <c r="W223" s="198" t="str">
        <f t="shared" si="65"/>
        <v/>
      </c>
      <c r="X223" s="197"/>
      <c r="Y223" s="198" t="str">
        <f t="shared" si="66"/>
        <v/>
      </c>
      <c r="Z223" s="197"/>
      <c r="AA223" s="198" t="str">
        <f t="shared" si="67"/>
        <v/>
      </c>
      <c r="AB223" s="197"/>
      <c r="AC223" s="198" t="str">
        <f t="shared" si="68"/>
        <v/>
      </c>
      <c r="AD223" s="197"/>
      <c r="AE223" s="198" t="str">
        <f t="shared" si="69"/>
        <v/>
      </c>
      <c r="AF223" s="197"/>
      <c r="AG223" s="198" t="str">
        <f t="shared" si="70"/>
        <v/>
      </c>
      <c r="AH223" s="197"/>
      <c r="AI223" s="198" t="str">
        <f t="shared" si="71"/>
        <v/>
      </c>
      <c r="AJ223" s="197"/>
      <c r="AK223" s="198" t="str">
        <f t="shared" si="72"/>
        <v/>
      </c>
      <c r="AL223" s="197"/>
      <c r="AM223" s="198" t="str">
        <f t="shared" si="73"/>
        <v/>
      </c>
      <c r="AN223" s="197">
        <v>64</v>
      </c>
      <c r="AO223" s="198">
        <f t="shared" si="74"/>
        <v>1049.1803278688524</v>
      </c>
      <c r="AP223" s="197">
        <v>237</v>
      </c>
      <c r="AQ223" s="198">
        <f t="shared" si="75"/>
        <v>3885.2459016393445</v>
      </c>
    </row>
    <row r="224" spans="1:43">
      <c r="A224" s="200"/>
      <c r="D224" s="201"/>
      <c r="E224" s="198" t="str">
        <f t="shared" si="57"/>
        <v/>
      </c>
      <c r="F224" s="201"/>
      <c r="G224" s="198" t="str">
        <f t="shared" si="57"/>
        <v/>
      </c>
      <c r="H224" s="201"/>
      <c r="I224" s="198" t="str">
        <f t="shared" si="58"/>
        <v/>
      </c>
      <c r="J224" s="201"/>
      <c r="K224" s="198" t="str">
        <f t="shared" si="59"/>
        <v/>
      </c>
      <c r="L224" s="201"/>
      <c r="M224" s="198" t="str">
        <f t="shared" si="60"/>
        <v/>
      </c>
      <c r="N224" s="201"/>
      <c r="O224" s="198" t="str">
        <f t="shared" si="61"/>
        <v/>
      </c>
      <c r="P224" s="201">
        <v>4504</v>
      </c>
      <c r="Q224" s="198" t="str">
        <f t="shared" si="62"/>
        <v/>
      </c>
      <c r="R224" s="201"/>
      <c r="S224" s="198" t="str">
        <f t="shared" si="63"/>
        <v/>
      </c>
      <c r="T224" s="201"/>
      <c r="U224" s="198" t="str">
        <f t="shared" si="64"/>
        <v/>
      </c>
      <c r="V224" s="201"/>
      <c r="W224" s="198" t="str">
        <f t="shared" si="65"/>
        <v/>
      </c>
      <c r="X224" s="201"/>
      <c r="Y224" s="198" t="str">
        <f t="shared" si="66"/>
        <v/>
      </c>
      <c r="Z224" s="201"/>
      <c r="AA224" s="198" t="str">
        <f t="shared" si="67"/>
        <v/>
      </c>
      <c r="AB224" s="201"/>
      <c r="AC224" s="198" t="str">
        <f t="shared" si="68"/>
        <v/>
      </c>
      <c r="AD224" s="201">
        <v>14939</v>
      </c>
      <c r="AE224" s="198" t="str">
        <f t="shared" si="69"/>
        <v/>
      </c>
      <c r="AF224" s="201"/>
      <c r="AG224" s="198" t="str">
        <f t="shared" si="70"/>
        <v/>
      </c>
      <c r="AH224" s="201"/>
      <c r="AI224" s="198" t="str">
        <f t="shared" si="71"/>
        <v/>
      </c>
      <c r="AJ224" s="201"/>
      <c r="AK224" s="198" t="str">
        <f t="shared" si="72"/>
        <v/>
      </c>
      <c r="AL224" s="201"/>
      <c r="AM224" s="198" t="str">
        <f t="shared" si="73"/>
        <v/>
      </c>
      <c r="AN224" s="201"/>
      <c r="AO224" s="198" t="str">
        <f t="shared" si="74"/>
        <v/>
      </c>
      <c r="AP224" s="201">
        <v>19443</v>
      </c>
      <c r="AQ224" s="198" t="str">
        <f t="shared" si="75"/>
        <v/>
      </c>
    </row>
    <row r="225" spans="1:43">
      <c r="A225" s="200"/>
      <c r="B225">
        <v>0.14899999999999999</v>
      </c>
      <c r="D225" s="201"/>
      <c r="E225" s="198" t="str">
        <f t="shared" si="57"/>
        <v/>
      </c>
      <c r="F225" s="201"/>
      <c r="G225" s="198" t="str">
        <f t="shared" si="57"/>
        <v/>
      </c>
      <c r="H225" s="201"/>
      <c r="I225" s="198" t="str">
        <f t="shared" si="58"/>
        <v/>
      </c>
      <c r="J225" s="201"/>
      <c r="K225" s="198" t="str">
        <f t="shared" si="59"/>
        <v/>
      </c>
      <c r="L225" s="201"/>
      <c r="M225" s="198" t="str">
        <f t="shared" si="60"/>
        <v/>
      </c>
      <c r="N225" s="201">
        <v>312</v>
      </c>
      <c r="O225" s="198">
        <f t="shared" si="61"/>
        <v>2093.9597315436245</v>
      </c>
      <c r="P225" s="201">
        <v>80</v>
      </c>
      <c r="Q225" s="198">
        <f t="shared" si="62"/>
        <v>536.91275167785238</v>
      </c>
      <c r="R225" s="201"/>
      <c r="S225" s="198" t="str">
        <f t="shared" si="63"/>
        <v/>
      </c>
      <c r="T225" s="201"/>
      <c r="U225" s="198" t="str">
        <f t="shared" si="64"/>
        <v/>
      </c>
      <c r="V225" s="201"/>
      <c r="W225" s="198" t="str">
        <f t="shared" si="65"/>
        <v/>
      </c>
      <c r="X225" s="201"/>
      <c r="Y225" s="198" t="str">
        <f t="shared" si="66"/>
        <v/>
      </c>
      <c r="Z225" s="201"/>
      <c r="AA225" s="198" t="str">
        <f t="shared" si="67"/>
        <v/>
      </c>
      <c r="AB225" s="201"/>
      <c r="AC225" s="198" t="str">
        <f t="shared" si="68"/>
        <v/>
      </c>
      <c r="AD225" s="201"/>
      <c r="AE225" s="198" t="str">
        <f t="shared" si="69"/>
        <v/>
      </c>
      <c r="AF225" s="201"/>
      <c r="AG225" s="198" t="str">
        <f t="shared" si="70"/>
        <v/>
      </c>
      <c r="AH225" s="201"/>
      <c r="AI225" s="198" t="str">
        <f t="shared" si="71"/>
        <v/>
      </c>
      <c r="AJ225" s="201"/>
      <c r="AK225" s="198" t="str">
        <f t="shared" si="72"/>
        <v/>
      </c>
      <c r="AL225" s="201"/>
      <c r="AM225" s="198" t="str">
        <f t="shared" si="73"/>
        <v/>
      </c>
      <c r="AN225" s="201">
        <v>172</v>
      </c>
      <c r="AO225" s="198">
        <f t="shared" si="74"/>
        <v>1154.3624161073826</v>
      </c>
      <c r="AP225" s="201">
        <v>564</v>
      </c>
      <c r="AQ225" s="198">
        <f t="shared" si="75"/>
        <v>3785.2348993288592</v>
      </c>
    </row>
    <row r="226" spans="1:43">
      <c r="A226" s="190" t="s">
        <v>285</v>
      </c>
      <c r="B226" s="196"/>
      <c r="D226" s="197"/>
      <c r="E226" s="198" t="str">
        <f t="shared" si="57"/>
        <v/>
      </c>
      <c r="F226" s="197"/>
      <c r="G226" s="198" t="str">
        <f t="shared" si="57"/>
        <v/>
      </c>
      <c r="H226" s="197"/>
      <c r="I226" s="198" t="str">
        <f t="shared" si="58"/>
        <v/>
      </c>
      <c r="J226" s="197"/>
      <c r="K226" s="198" t="str">
        <f t="shared" si="59"/>
        <v/>
      </c>
      <c r="L226" s="197"/>
      <c r="M226" s="198" t="str">
        <f t="shared" si="60"/>
        <v/>
      </c>
      <c r="N226" s="197"/>
      <c r="O226" s="198" t="str">
        <f t="shared" si="61"/>
        <v/>
      </c>
      <c r="P226" s="197"/>
      <c r="Q226" s="198" t="str">
        <f t="shared" si="62"/>
        <v/>
      </c>
      <c r="R226" s="197"/>
      <c r="S226" s="198" t="str">
        <f t="shared" si="63"/>
        <v/>
      </c>
      <c r="T226" s="197"/>
      <c r="U226" s="198" t="str">
        <f t="shared" si="64"/>
        <v/>
      </c>
      <c r="V226" s="197"/>
      <c r="W226" s="198" t="str">
        <f t="shared" si="65"/>
        <v/>
      </c>
      <c r="X226" s="197"/>
      <c r="Y226" s="198" t="str">
        <f t="shared" si="66"/>
        <v/>
      </c>
      <c r="Z226" s="197"/>
      <c r="AA226" s="198" t="str">
        <f t="shared" si="67"/>
        <v/>
      </c>
      <c r="AB226" s="197"/>
      <c r="AC226" s="198" t="str">
        <f t="shared" si="68"/>
        <v/>
      </c>
      <c r="AD226" s="197"/>
      <c r="AE226" s="198" t="str">
        <f t="shared" si="69"/>
        <v/>
      </c>
      <c r="AF226" s="197"/>
      <c r="AG226" s="198" t="str">
        <f t="shared" si="70"/>
        <v/>
      </c>
      <c r="AH226" s="197"/>
      <c r="AI226" s="198" t="str">
        <f t="shared" si="71"/>
        <v/>
      </c>
      <c r="AJ226" s="197"/>
      <c r="AK226" s="198" t="str">
        <f t="shared" si="72"/>
        <v/>
      </c>
      <c r="AL226" s="197"/>
      <c r="AM226" s="198" t="str">
        <f t="shared" si="73"/>
        <v/>
      </c>
      <c r="AN226" s="197"/>
      <c r="AO226" s="198" t="str">
        <f t="shared" si="74"/>
        <v/>
      </c>
      <c r="AP226" s="197"/>
      <c r="AQ226" s="198" t="str">
        <f t="shared" si="75"/>
        <v/>
      </c>
    </row>
    <row r="227" spans="1:43">
      <c r="A227" s="190" t="s">
        <v>286</v>
      </c>
      <c r="B227" s="196">
        <v>4.62</v>
      </c>
      <c r="D227" s="197">
        <v>502</v>
      </c>
      <c r="E227" s="198">
        <f t="shared" si="57"/>
        <v>108.65800865800865</v>
      </c>
      <c r="F227" s="197"/>
      <c r="G227" s="198" t="str">
        <f t="shared" si="57"/>
        <v/>
      </c>
      <c r="H227" s="197"/>
      <c r="I227" s="198" t="str">
        <f t="shared" si="58"/>
        <v/>
      </c>
      <c r="J227" s="197"/>
      <c r="K227" s="198" t="str">
        <f t="shared" si="59"/>
        <v/>
      </c>
      <c r="L227" s="197"/>
      <c r="M227" s="198" t="str">
        <f t="shared" si="60"/>
        <v/>
      </c>
      <c r="N227" s="197">
        <v>555</v>
      </c>
      <c r="O227" s="198">
        <f t="shared" si="61"/>
        <v>120.12987012987013</v>
      </c>
      <c r="P227" s="197">
        <v>240</v>
      </c>
      <c r="Q227" s="198">
        <f t="shared" si="62"/>
        <v>51.948051948051948</v>
      </c>
      <c r="R227" s="197"/>
      <c r="S227" s="198" t="str">
        <f t="shared" si="63"/>
        <v/>
      </c>
      <c r="T227" s="197">
        <v>13</v>
      </c>
      <c r="U227" s="198">
        <f t="shared" si="64"/>
        <v>2.8138528138528138</v>
      </c>
      <c r="V227" s="197"/>
      <c r="W227" s="198" t="str">
        <f t="shared" si="65"/>
        <v/>
      </c>
      <c r="X227" s="197"/>
      <c r="Y227" s="198" t="str">
        <f t="shared" si="66"/>
        <v/>
      </c>
      <c r="Z227" s="197">
        <v>80</v>
      </c>
      <c r="AA227" s="198">
        <f t="shared" si="67"/>
        <v>17.316017316017316</v>
      </c>
      <c r="AB227" s="197"/>
      <c r="AC227" s="198" t="str">
        <f t="shared" si="68"/>
        <v/>
      </c>
      <c r="AD227" s="197">
        <v>724</v>
      </c>
      <c r="AE227" s="198">
        <f t="shared" si="69"/>
        <v>156.70995670995671</v>
      </c>
      <c r="AF227" s="197"/>
      <c r="AG227" s="198" t="str">
        <f t="shared" si="70"/>
        <v/>
      </c>
      <c r="AH227" s="197"/>
      <c r="AI227" s="198" t="str">
        <f t="shared" si="71"/>
        <v/>
      </c>
      <c r="AJ227" s="197">
        <v>2325</v>
      </c>
      <c r="AK227" s="198">
        <f t="shared" si="72"/>
        <v>503.24675324675326</v>
      </c>
      <c r="AL227" s="197"/>
      <c r="AM227" s="198" t="str">
        <f t="shared" si="73"/>
        <v/>
      </c>
      <c r="AN227" s="197"/>
      <c r="AO227" s="198" t="str">
        <f t="shared" si="74"/>
        <v/>
      </c>
      <c r="AP227" s="197">
        <v>3937</v>
      </c>
      <c r="AQ227" s="198">
        <f t="shared" si="75"/>
        <v>852.1645021645021</v>
      </c>
    </row>
    <row r="228" spans="1:43">
      <c r="A228" s="200"/>
      <c r="B228">
        <v>0.01</v>
      </c>
      <c r="D228" s="201">
        <v>18</v>
      </c>
      <c r="E228" s="198">
        <f t="shared" si="57"/>
        <v>1800</v>
      </c>
      <c r="F228" s="201"/>
      <c r="G228" s="198" t="str">
        <f t="shared" si="57"/>
        <v/>
      </c>
      <c r="H228" s="201"/>
      <c r="I228" s="198" t="str">
        <f t="shared" si="58"/>
        <v/>
      </c>
      <c r="J228" s="201"/>
      <c r="K228" s="198" t="str">
        <f t="shared" si="59"/>
        <v/>
      </c>
      <c r="L228" s="201"/>
      <c r="M228" s="198" t="str">
        <f t="shared" si="60"/>
        <v/>
      </c>
      <c r="N228" s="201"/>
      <c r="O228" s="198" t="str">
        <f t="shared" si="61"/>
        <v/>
      </c>
      <c r="P228" s="201"/>
      <c r="Q228" s="198" t="str">
        <f t="shared" si="62"/>
        <v/>
      </c>
      <c r="R228" s="201"/>
      <c r="S228" s="198" t="str">
        <f t="shared" si="63"/>
        <v/>
      </c>
      <c r="T228" s="201"/>
      <c r="U228" s="198" t="str">
        <f t="shared" si="64"/>
        <v/>
      </c>
      <c r="V228" s="201"/>
      <c r="W228" s="198" t="str">
        <f t="shared" si="65"/>
        <v/>
      </c>
      <c r="X228" s="201"/>
      <c r="Y228" s="198" t="str">
        <f t="shared" si="66"/>
        <v/>
      </c>
      <c r="Z228" s="201"/>
      <c r="AA228" s="198" t="str">
        <f t="shared" si="67"/>
        <v/>
      </c>
      <c r="AB228" s="201"/>
      <c r="AC228" s="198" t="str">
        <f t="shared" si="68"/>
        <v/>
      </c>
      <c r="AD228" s="201"/>
      <c r="AE228" s="198" t="str">
        <f t="shared" si="69"/>
        <v/>
      </c>
      <c r="AF228" s="201"/>
      <c r="AG228" s="198" t="str">
        <f t="shared" si="70"/>
        <v/>
      </c>
      <c r="AH228" s="201"/>
      <c r="AI228" s="198" t="str">
        <f t="shared" si="71"/>
        <v/>
      </c>
      <c r="AJ228" s="201">
        <v>1549</v>
      </c>
      <c r="AK228" s="198">
        <f t="shared" si="72"/>
        <v>154900</v>
      </c>
      <c r="AL228" s="201"/>
      <c r="AM228" s="198" t="str">
        <f t="shared" si="73"/>
        <v/>
      </c>
      <c r="AN228" s="201"/>
      <c r="AO228" s="198" t="str">
        <f t="shared" si="74"/>
        <v/>
      </c>
      <c r="AP228" s="201">
        <v>1549</v>
      </c>
      <c r="AQ228" s="198">
        <f t="shared" si="75"/>
        <v>154900</v>
      </c>
    </row>
    <row r="229" spans="1:43">
      <c r="A229" s="190" t="s">
        <v>287</v>
      </c>
      <c r="B229" s="196">
        <v>3.5</v>
      </c>
      <c r="D229" s="197">
        <v>41578</v>
      </c>
      <c r="E229" s="198">
        <f t="shared" si="57"/>
        <v>11879.428571428571</v>
      </c>
      <c r="F229" s="197">
        <v>496</v>
      </c>
      <c r="G229" s="198">
        <f t="shared" si="57"/>
        <v>141.71428571428572</v>
      </c>
      <c r="H229" s="197"/>
      <c r="I229" s="198" t="str">
        <f t="shared" si="58"/>
        <v/>
      </c>
      <c r="J229" s="197"/>
      <c r="K229" s="198" t="str">
        <f t="shared" si="59"/>
        <v/>
      </c>
      <c r="L229" s="197"/>
      <c r="M229" s="198" t="str">
        <f t="shared" si="60"/>
        <v/>
      </c>
      <c r="N229" s="197">
        <v>512</v>
      </c>
      <c r="O229" s="198">
        <f t="shared" si="61"/>
        <v>146.28571428571428</v>
      </c>
      <c r="P229" s="197">
        <v>4417</v>
      </c>
      <c r="Q229" s="198">
        <f t="shared" si="62"/>
        <v>1262</v>
      </c>
      <c r="R229" s="197"/>
      <c r="S229" s="198" t="str">
        <f t="shared" si="63"/>
        <v/>
      </c>
      <c r="T229" s="197"/>
      <c r="U229" s="198" t="str">
        <f t="shared" si="64"/>
        <v/>
      </c>
      <c r="V229" s="197">
        <v>73</v>
      </c>
      <c r="W229" s="198">
        <f t="shared" si="65"/>
        <v>20.857142857142858</v>
      </c>
      <c r="X229" s="197">
        <v>232</v>
      </c>
      <c r="Y229" s="198">
        <f t="shared" si="66"/>
        <v>66.285714285714292</v>
      </c>
      <c r="Z229" s="197"/>
      <c r="AA229" s="198" t="str">
        <f t="shared" si="67"/>
        <v/>
      </c>
      <c r="AB229" s="197"/>
      <c r="AC229" s="198" t="str">
        <f t="shared" si="68"/>
        <v/>
      </c>
      <c r="AD229" s="197">
        <v>856</v>
      </c>
      <c r="AE229" s="198">
        <f t="shared" si="69"/>
        <v>244.57142857142858</v>
      </c>
      <c r="AF229" s="197"/>
      <c r="AG229" s="198" t="str">
        <f t="shared" si="70"/>
        <v/>
      </c>
      <c r="AH229" s="197"/>
      <c r="AI229" s="198" t="str">
        <f t="shared" si="71"/>
        <v/>
      </c>
      <c r="AJ229" s="197">
        <v>1226</v>
      </c>
      <c r="AK229" s="198">
        <f t="shared" si="72"/>
        <v>350.28571428571428</v>
      </c>
      <c r="AL229" s="197"/>
      <c r="AM229" s="198" t="str">
        <f t="shared" si="73"/>
        <v/>
      </c>
      <c r="AN229" s="197"/>
      <c r="AO229" s="198" t="str">
        <f t="shared" si="74"/>
        <v/>
      </c>
      <c r="AP229" s="197">
        <v>7812</v>
      </c>
      <c r="AQ229" s="198">
        <f t="shared" si="75"/>
        <v>2232</v>
      </c>
    </row>
    <row r="230" spans="1:43">
      <c r="A230" s="200"/>
      <c r="D230" s="201"/>
      <c r="E230" s="198" t="str">
        <f t="shared" si="57"/>
        <v/>
      </c>
      <c r="F230" s="201"/>
      <c r="G230" s="198" t="str">
        <f t="shared" si="57"/>
        <v/>
      </c>
      <c r="H230" s="201"/>
      <c r="I230" s="198" t="str">
        <f t="shared" si="58"/>
        <v/>
      </c>
      <c r="J230" s="201"/>
      <c r="K230" s="198" t="str">
        <f t="shared" si="59"/>
        <v/>
      </c>
      <c r="L230" s="201"/>
      <c r="M230" s="198" t="str">
        <f t="shared" si="60"/>
        <v/>
      </c>
      <c r="N230" s="201"/>
      <c r="O230" s="198" t="str">
        <f t="shared" si="61"/>
        <v/>
      </c>
      <c r="P230" s="201"/>
      <c r="Q230" s="198" t="str">
        <f t="shared" si="62"/>
        <v/>
      </c>
      <c r="R230" s="201"/>
      <c r="S230" s="198" t="str">
        <f t="shared" si="63"/>
        <v/>
      </c>
      <c r="T230" s="201"/>
      <c r="U230" s="198" t="str">
        <f t="shared" si="64"/>
        <v/>
      </c>
      <c r="V230" s="201"/>
      <c r="W230" s="198" t="str">
        <f t="shared" si="65"/>
        <v/>
      </c>
      <c r="X230" s="201"/>
      <c r="Y230" s="198" t="str">
        <f t="shared" si="66"/>
        <v/>
      </c>
      <c r="Z230" s="201"/>
      <c r="AA230" s="198" t="str">
        <f t="shared" si="67"/>
        <v/>
      </c>
      <c r="AB230" s="201"/>
      <c r="AC230" s="198" t="str">
        <f t="shared" si="68"/>
        <v/>
      </c>
      <c r="AD230" s="201">
        <v>105474</v>
      </c>
      <c r="AE230" s="198" t="str">
        <f t="shared" si="69"/>
        <v/>
      </c>
      <c r="AF230" s="201"/>
      <c r="AG230" s="198" t="str">
        <f t="shared" si="70"/>
        <v/>
      </c>
      <c r="AH230" s="201"/>
      <c r="AI230" s="198" t="str">
        <f t="shared" si="71"/>
        <v/>
      </c>
      <c r="AJ230" s="201"/>
      <c r="AK230" s="198" t="str">
        <f t="shared" si="72"/>
        <v/>
      </c>
      <c r="AL230" s="201"/>
      <c r="AM230" s="198" t="str">
        <f t="shared" si="73"/>
        <v/>
      </c>
      <c r="AN230" s="201"/>
      <c r="AO230" s="198" t="str">
        <f t="shared" si="74"/>
        <v/>
      </c>
      <c r="AP230" s="201">
        <v>105474</v>
      </c>
      <c r="AQ230" s="198" t="str">
        <f t="shared" si="75"/>
        <v/>
      </c>
    </row>
    <row r="231" spans="1:43">
      <c r="A231" s="200"/>
      <c r="B231">
        <v>1.2110000000000001</v>
      </c>
      <c r="D231" s="201"/>
      <c r="E231" s="198" t="str">
        <f t="shared" si="57"/>
        <v/>
      </c>
      <c r="F231" s="201"/>
      <c r="G231" s="198" t="str">
        <f t="shared" si="57"/>
        <v/>
      </c>
      <c r="H231" s="201"/>
      <c r="I231" s="198" t="str">
        <f t="shared" si="58"/>
        <v/>
      </c>
      <c r="J231" s="201"/>
      <c r="K231" s="198" t="str">
        <f t="shared" si="59"/>
        <v/>
      </c>
      <c r="L231" s="201"/>
      <c r="M231" s="198" t="str">
        <f t="shared" si="60"/>
        <v/>
      </c>
      <c r="N231" s="201">
        <v>17</v>
      </c>
      <c r="O231" s="198">
        <f t="shared" si="61"/>
        <v>14.037985136251031</v>
      </c>
      <c r="P231" s="201">
        <v>158</v>
      </c>
      <c r="Q231" s="198">
        <f t="shared" si="62"/>
        <v>130.47068538398017</v>
      </c>
      <c r="R231" s="201"/>
      <c r="S231" s="198" t="str">
        <f t="shared" si="63"/>
        <v/>
      </c>
      <c r="T231" s="201"/>
      <c r="U231" s="198" t="str">
        <f t="shared" si="64"/>
        <v/>
      </c>
      <c r="V231" s="201"/>
      <c r="W231" s="198" t="str">
        <f t="shared" si="65"/>
        <v/>
      </c>
      <c r="X231" s="201"/>
      <c r="Y231" s="198" t="str">
        <f t="shared" si="66"/>
        <v/>
      </c>
      <c r="Z231" s="201"/>
      <c r="AA231" s="198" t="str">
        <f t="shared" si="67"/>
        <v/>
      </c>
      <c r="AB231" s="201"/>
      <c r="AC231" s="198" t="str">
        <f t="shared" si="68"/>
        <v/>
      </c>
      <c r="AD231" s="201">
        <v>2159</v>
      </c>
      <c r="AE231" s="198">
        <f t="shared" si="69"/>
        <v>1782.8241123038811</v>
      </c>
      <c r="AF231" s="201"/>
      <c r="AG231" s="198" t="str">
        <f t="shared" si="70"/>
        <v/>
      </c>
      <c r="AH231" s="201"/>
      <c r="AI231" s="198" t="str">
        <f t="shared" si="71"/>
        <v/>
      </c>
      <c r="AJ231" s="201"/>
      <c r="AK231" s="198" t="str">
        <f t="shared" si="72"/>
        <v/>
      </c>
      <c r="AL231" s="201"/>
      <c r="AM231" s="198" t="str">
        <f t="shared" si="73"/>
        <v/>
      </c>
      <c r="AN231" s="201"/>
      <c r="AO231" s="198" t="str">
        <f t="shared" si="74"/>
        <v/>
      </c>
      <c r="AP231" s="201">
        <v>2334</v>
      </c>
      <c r="AQ231" s="198">
        <f t="shared" si="75"/>
        <v>1927.3327828241122</v>
      </c>
    </row>
    <row r="232" spans="1:43">
      <c r="A232" s="200"/>
      <c r="B232">
        <v>0.14099999999999999</v>
      </c>
      <c r="D232" s="201"/>
      <c r="E232" s="198" t="str">
        <f t="shared" si="57"/>
        <v/>
      </c>
      <c r="F232" s="201"/>
      <c r="G232" s="198" t="str">
        <f t="shared" si="57"/>
        <v/>
      </c>
      <c r="H232" s="201"/>
      <c r="I232" s="198" t="str">
        <f t="shared" si="58"/>
        <v/>
      </c>
      <c r="J232" s="201"/>
      <c r="K232" s="198" t="str">
        <f t="shared" si="59"/>
        <v/>
      </c>
      <c r="L232" s="201"/>
      <c r="M232" s="198" t="str">
        <f t="shared" si="60"/>
        <v/>
      </c>
      <c r="N232" s="201"/>
      <c r="O232" s="198" t="str">
        <f t="shared" si="61"/>
        <v/>
      </c>
      <c r="P232" s="201">
        <v>1</v>
      </c>
      <c r="Q232" s="198">
        <f t="shared" si="62"/>
        <v>7.0921985815602842</v>
      </c>
      <c r="R232" s="201"/>
      <c r="S232" s="198" t="str">
        <f t="shared" si="63"/>
        <v/>
      </c>
      <c r="T232" s="201"/>
      <c r="U232" s="198" t="str">
        <f t="shared" si="64"/>
        <v/>
      </c>
      <c r="V232" s="201"/>
      <c r="W232" s="198" t="str">
        <f t="shared" si="65"/>
        <v/>
      </c>
      <c r="X232" s="201"/>
      <c r="Y232" s="198" t="str">
        <f t="shared" si="66"/>
        <v/>
      </c>
      <c r="Z232" s="201"/>
      <c r="AA232" s="198" t="str">
        <f t="shared" si="67"/>
        <v/>
      </c>
      <c r="AB232" s="201"/>
      <c r="AC232" s="198" t="str">
        <f t="shared" si="68"/>
        <v/>
      </c>
      <c r="AD232" s="201"/>
      <c r="AE232" s="198" t="str">
        <f t="shared" si="69"/>
        <v/>
      </c>
      <c r="AF232" s="201"/>
      <c r="AG232" s="198" t="str">
        <f t="shared" si="70"/>
        <v/>
      </c>
      <c r="AH232" s="201"/>
      <c r="AI232" s="198" t="str">
        <f t="shared" si="71"/>
        <v/>
      </c>
      <c r="AJ232" s="201"/>
      <c r="AK232" s="198" t="str">
        <f t="shared" si="72"/>
        <v/>
      </c>
      <c r="AL232" s="201"/>
      <c r="AM232" s="198" t="str">
        <f t="shared" si="73"/>
        <v/>
      </c>
      <c r="AN232" s="201"/>
      <c r="AO232" s="198" t="str">
        <f t="shared" si="74"/>
        <v/>
      </c>
      <c r="AP232" s="201">
        <v>1</v>
      </c>
      <c r="AQ232" s="198">
        <f t="shared" si="75"/>
        <v>7.0921985815602842</v>
      </c>
    </row>
    <row r="233" spans="1:43">
      <c r="A233" s="200"/>
      <c r="D233" s="201"/>
      <c r="E233" s="198" t="str">
        <f t="shared" si="57"/>
        <v/>
      </c>
      <c r="F233" s="201"/>
      <c r="G233" s="198" t="str">
        <f t="shared" si="57"/>
        <v/>
      </c>
      <c r="H233" s="201"/>
      <c r="I233" s="198" t="str">
        <f t="shared" si="58"/>
        <v/>
      </c>
      <c r="J233" s="201"/>
      <c r="K233" s="198" t="str">
        <f t="shared" si="59"/>
        <v/>
      </c>
      <c r="L233" s="201"/>
      <c r="M233" s="198" t="str">
        <f t="shared" si="60"/>
        <v/>
      </c>
      <c r="N233" s="201"/>
      <c r="O233" s="198" t="str">
        <f t="shared" si="61"/>
        <v/>
      </c>
      <c r="P233" s="201"/>
      <c r="Q233" s="198" t="str">
        <f t="shared" si="62"/>
        <v/>
      </c>
      <c r="R233" s="201"/>
      <c r="S233" s="198" t="str">
        <f t="shared" si="63"/>
        <v/>
      </c>
      <c r="T233" s="201"/>
      <c r="U233" s="198" t="str">
        <f t="shared" si="64"/>
        <v/>
      </c>
      <c r="V233" s="201"/>
      <c r="W233" s="198" t="str">
        <f t="shared" si="65"/>
        <v/>
      </c>
      <c r="X233" s="201"/>
      <c r="Y233" s="198" t="str">
        <f t="shared" si="66"/>
        <v/>
      </c>
      <c r="Z233" s="201"/>
      <c r="AA233" s="198" t="str">
        <f t="shared" si="67"/>
        <v/>
      </c>
      <c r="AB233" s="201"/>
      <c r="AC233" s="198" t="str">
        <f t="shared" si="68"/>
        <v/>
      </c>
      <c r="AD233" s="201"/>
      <c r="AE233" s="198" t="str">
        <f t="shared" si="69"/>
        <v/>
      </c>
      <c r="AF233" s="201"/>
      <c r="AG233" s="198" t="str">
        <f t="shared" si="70"/>
        <v/>
      </c>
      <c r="AH233" s="201"/>
      <c r="AI233" s="198" t="str">
        <f t="shared" si="71"/>
        <v/>
      </c>
      <c r="AJ233" s="201"/>
      <c r="AK233" s="198" t="str">
        <f t="shared" si="72"/>
        <v/>
      </c>
      <c r="AL233" s="201"/>
      <c r="AM233" s="198" t="str">
        <f t="shared" si="73"/>
        <v/>
      </c>
      <c r="AN233" s="201"/>
      <c r="AO233" s="198" t="str">
        <f t="shared" si="74"/>
        <v/>
      </c>
      <c r="AP233" s="201"/>
      <c r="AQ233" s="198" t="str">
        <f t="shared" si="75"/>
        <v/>
      </c>
    </row>
    <row r="234" spans="1:43">
      <c r="A234" s="190" t="s">
        <v>288</v>
      </c>
      <c r="B234" s="196">
        <v>37.06</v>
      </c>
      <c r="D234" s="197">
        <v>321464</v>
      </c>
      <c r="E234" s="198">
        <f t="shared" si="57"/>
        <v>8674.1500269832704</v>
      </c>
      <c r="F234" s="197"/>
      <c r="G234" s="198" t="str">
        <f t="shared" si="57"/>
        <v/>
      </c>
      <c r="H234" s="197"/>
      <c r="I234" s="198" t="str">
        <f t="shared" si="58"/>
        <v/>
      </c>
      <c r="J234" s="197"/>
      <c r="K234" s="198" t="str">
        <f t="shared" si="59"/>
        <v/>
      </c>
      <c r="L234" s="197"/>
      <c r="M234" s="198" t="str">
        <f t="shared" si="60"/>
        <v/>
      </c>
      <c r="N234" s="197">
        <v>5850</v>
      </c>
      <c r="O234" s="198">
        <f t="shared" si="61"/>
        <v>157.8521316783594</v>
      </c>
      <c r="P234" s="197">
        <v>1634</v>
      </c>
      <c r="Q234" s="198">
        <f t="shared" si="62"/>
        <v>44.09066378845116</v>
      </c>
      <c r="R234" s="197">
        <v>43599</v>
      </c>
      <c r="S234" s="198">
        <f t="shared" si="63"/>
        <v>1176.4436049649216</v>
      </c>
      <c r="T234" s="197">
        <v>37244</v>
      </c>
      <c r="U234" s="198">
        <f t="shared" si="64"/>
        <v>1004.9649217485158</v>
      </c>
      <c r="V234" s="197">
        <v>20752</v>
      </c>
      <c r="W234" s="198">
        <f t="shared" si="65"/>
        <v>559.95682676740421</v>
      </c>
      <c r="X234" s="197"/>
      <c r="Y234" s="198" t="str">
        <f t="shared" si="66"/>
        <v/>
      </c>
      <c r="Z234" s="197"/>
      <c r="AA234" s="198" t="str">
        <f t="shared" si="67"/>
        <v/>
      </c>
      <c r="AB234" s="197"/>
      <c r="AC234" s="198" t="str">
        <f t="shared" si="68"/>
        <v/>
      </c>
      <c r="AD234" s="197"/>
      <c r="AE234" s="198" t="str">
        <f t="shared" si="69"/>
        <v/>
      </c>
      <c r="AF234" s="197">
        <v>358767</v>
      </c>
      <c r="AG234" s="198">
        <f t="shared" si="70"/>
        <v>9680.7069616837562</v>
      </c>
      <c r="AH234" s="197"/>
      <c r="AI234" s="198" t="str">
        <f t="shared" si="71"/>
        <v/>
      </c>
      <c r="AJ234" s="197">
        <v>16444</v>
      </c>
      <c r="AK234" s="198">
        <f t="shared" si="72"/>
        <v>443.71289800323797</v>
      </c>
      <c r="AL234" s="197"/>
      <c r="AM234" s="198" t="str">
        <f t="shared" si="73"/>
        <v/>
      </c>
      <c r="AN234" s="197">
        <v>138476</v>
      </c>
      <c r="AO234" s="198">
        <f t="shared" si="74"/>
        <v>3736.5353480841877</v>
      </c>
      <c r="AP234" s="197">
        <v>622766</v>
      </c>
      <c r="AQ234" s="198">
        <f t="shared" si="75"/>
        <v>16804.263356718835</v>
      </c>
    </row>
    <row r="235" spans="1:43">
      <c r="A235" s="200"/>
      <c r="B235">
        <v>2.85</v>
      </c>
      <c r="D235" s="201">
        <v>197053</v>
      </c>
      <c r="E235" s="198">
        <f t="shared" si="57"/>
        <v>69141.403508771924</v>
      </c>
      <c r="F235" s="201"/>
      <c r="G235" s="198" t="str">
        <f t="shared" si="57"/>
        <v/>
      </c>
      <c r="H235" s="201"/>
      <c r="I235" s="198" t="str">
        <f t="shared" si="58"/>
        <v/>
      </c>
      <c r="J235" s="201"/>
      <c r="K235" s="198" t="str">
        <f t="shared" si="59"/>
        <v/>
      </c>
      <c r="L235" s="201"/>
      <c r="M235" s="198" t="str">
        <f t="shared" si="60"/>
        <v/>
      </c>
      <c r="N235" s="201">
        <v>190</v>
      </c>
      <c r="O235" s="198">
        <f t="shared" si="61"/>
        <v>66.666666666666671</v>
      </c>
      <c r="P235" s="201">
        <v>643</v>
      </c>
      <c r="Q235" s="198">
        <f t="shared" si="62"/>
        <v>225.61403508771929</v>
      </c>
      <c r="R235" s="201">
        <v>31480</v>
      </c>
      <c r="S235" s="198">
        <f t="shared" si="63"/>
        <v>11045.614035087719</v>
      </c>
      <c r="T235" s="201">
        <v>8446</v>
      </c>
      <c r="U235" s="198">
        <f t="shared" si="64"/>
        <v>2963.5087719298244</v>
      </c>
      <c r="V235" s="201">
        <v>5126</v>
      </c>
      <c r="W235" s="198">
        <f t="shared" si="65"/>
        <v>1798.5964912280701</v>
      </c>
      <c r="X235" s="201"/>
      <c r="Y235" s="198" t="str">
        <f t="shared" si="66"/>
        <v/>
      </c>
      <c r="Z235" s="201">
        <v>1130</v>
      </c>
      <c r="AA235" s="198">
        <f t="shared" si="67"/>
        <v>396.49122807017545</v>
      </c>
      <c r="AB235" s="201"/>
      <c r="AC235" s="198" t="str">
        <f t="shared" si="68"/>
        <v/>
      </c>
      <c r="AD235" s="201"/>
      <c r="AE235" s="198" t="str">
        <f t="shared" si="69"/>
        <v/>
      </c>
      <c r="AF235" s="201"/>
      <c r="AG235" s="198" t="str">
        <f t="shared" si="70"/>
        <v/>
      </c>
      <c r="AH235" s="201"/>
      <c r="AI235" s="198" t="str">
        <f t="shared" si="71"/>
        <v/>
      </c>
      <c r="AJ235" s="201">
        <v>1317</v>
      </c>
      <c r="AK235" s="198">
        <f t="shared" si="72"/>
        <v>462.10526315789474</v>
      </c>
      <c r="AL235" s="201"/>
      <c r="AM235" s="198" t="str">
        <f t="shared" si="73"/>
        <v/>
      </c>
      <c r="AN235" s="201">
        <v>1022</v>
      </c>
      <c r="AO235" s="198">
        <f t="shared" si="74"/>
        <v>358.59649122807019</v>
      </c>
      <c r="AP235" s="201">
        <v>49354</v>
      </c>
      <c r="AQ235" s="198">
        <f t="shared" si="75"/>
        <v>17317.192982456141</v>
      </c>
    </row>
    <row r="236" spans="1:43">
      <c r="A236" s="190" t="s">
        <v>289</v>
      </c>
      <c r="B236" s="196">
        <v>32.67</v>
      </c>
      <c r="D236" s="197">
        <v>470072</v>
      </c>
      <c r="E236" s="198">
        <f t="shared" si="57"/>
        <v>14388.490970309151</v>
      </c>
      <c r="F236" s="197">
        <v>351983</v>
      </c>
      <c r="G236" s="198">
        <f t="shared" si="57"/>
        <v>10773.890419344963</v>
      </c>
      <c r="H236" s="197"/>
      <c r="I236" s="198" t="str">
        <f t="shared" si="58"/>
        <v/>
      </c>
      <c r="J236" s="197">
        <v>41765</v>
      </c>
      <c r="K236" s="198">
        <f t="shared" si="59"/>
        <v>1278.3899602081419</v>
      </c>
      <c r="L236" s="197"/>
      <c r="M236" s="198" t="str">
        <f t="shared" si="60"/>
        <v/>
      </c>
      <c r="N236" s="197">
        <v>6431</v>
      </c>
      <c r="O236" s="198">
        <f t="shared" si="61"/>
        <v>196.8472604836241</v>
      </c>
      <c r="P236" s="197">
        <v>24674</v>
      </c>
      <c r="Q236" s="198">
        <f t="shared" si="62"/>
        <v>755.24946434037338</v>
      </c>
      <c r="R236" s="197">
        <v>91955</v>
      </c>
      <c r="S236" s="198">
        <f t="shared" si="63"/>
        <v>2814.6617692072236</v>
      </c>
      <c r="T236" s="197">
        <v>4857</v>
      </c>
      <c r="U236" s="198">
        <f t="shared" si="64"/>
        <v>148.66850321395776</v>
      </c>
      <c r="V236" s="197">
        <v>135</v>
      </c>
      <c r="W236" s="198">
        <f t="shared" si="65"/>
        <v>4.1322314049586772</v>
      </c>
      <c r="X236" s="197"/>
      <c r="Y236" s="198" t="str">
        <f t="shared" si="66"/>
        <v/>
      </c>
      <c r="Z236" s="197">
        <v>26618</v>
      </c>
      <c r="AA236" s="198">
        <f t="shared" si="67"/>
        <v>814.7535965717783</v>
      </c>
      <c r="AB236" s="197">
        <v>49504</v>
      </c>
      <c r="AC236" s="198">
        <f t="shared" si="68"/>
        <v>1515.273951637588</v>
      </c>
      <c r="AD236" s="197"/>
      <c r="AE236" s="198" t="str">
        <f t="shared" si="69"/>
        <v/>
      </c>
      <c r="AF236" s="197"/>
      <c r="AG236" s="198" t="str">
        <f t="shared" si="70"/>
        <v/>
      </c>
      <c r="AH236" s="197"/>
      <c r="AI236" s="198" t="str">
        <f t="shared" si="71"/>
        <v/>
      </c>
      <c r="AJ236" s="197">
        <v>27942</v>
      </c>
      <c r="AK236" s="198">
        <f t="shared" si="72"/>
        <v>855.28007346189156</v>
      </c>
      <c r="AL236" s="197"/>
      <c r="AM236" s="198" t="str">
        <f t="shared" si="73"/>
        <v/>
      </c>
      <c r="AN236" s="197"/>
      <c r="AO236" s="198" t="str">
        <f t="shared" si="74"/>
        <v/>
      </c>
      <c r="AP236" s="197">
        <v>625864</v>
      </c>
      <c r="AQ236" s="198">
        <f t="shared" si="75"/>
        <v>19157.147229874503</v>
      </c>
    </row>
    <row r="237" spans="1:43">
      <c r="A237" s="200"/>
      <c r="B237">
        <v>0.4</v>
      </c>
      <c r="D237" s="201"/>
      <c r="E237" s="198" t="str">
        <f t="shared" si="57"/>
        <v/>
      </c>
      <c r="F237" s="201"/>
      <c r="G237" s="198" t="str">
        <f t="shared" si="57"/>
        <v/>
      </c>
      <c r="H237" s="201"/>
      <c r="I237" s="198" t="str">
        <f t="shared" si="58"/>
        <v/>
      </c>
      <c r="J237" s="201">
        <v>2125</v>
      </c>
      <c r="K237" s="198">
        <f t="shared" si="59"/>
        <v>5312.5</v>
      </c>
      <c r="L237" s="201"/>
      <c r="M237" s="198" t="str">
        <f t="shared" si="60"/>
        <v/>
      </c>
      <c r="N237" s="201"/>
      <c r="O237" s="198" t="str">
        <f t="shared" si="61"/>
        <v/>
      </c>
      <c r="P237" s="201"/>
      <c r="Q237" s="198" t="str">
        <f t="shared" si="62"/>
        <v/>
      </c>
      <c r="R237" s="201"/>
      <c r="S237" s="198" t="str">
        <f t="shared" si="63"/>
        <v/>
      </c>
      <c r="T237" s="201"/>
      <c r="U237" s="198" t="str">
        <f t="shared" si="64"/>
        <v/>
      </c>
      <c r="V237" s="201"/>
      <c r="W237" s="198" t="str">
        <f t="shared" si="65"/>
        <v/>
      </c>
      <c r="X237" s="201"/>
      <c r="Y237" s="198" t="str">
        <f t="shared" si="66"/>
        <v/>
      </c>
      <c r="Z237" s="201"/>
      <c r="AA237" s="198" t="str">
        <f t="shared" si="67"/>
        <v/>
      </c>
      <c r="AB237" s="201"/>
      <c r="AC237" s="198" t="str">
        <f t="shared" si="68"/>
        <v/>
      </c>
      <c r="AD237" s="201"/>
      <c r="AE237" s="198" t="str">
        <f t="shared" si="69"/>
        <v/>
      </c>
      <c r="AF237" s="201"/>
      <c r="AG237" s="198" t="str">
        <f t="shared" si="70"/>
        <v/>
      </c>
      <c r="AH237" s="201"/>
      <c r="AI237" s="198" t="str">
        <f t="shared" si="71"/>
        <v/>
      </c>
      <c r="AJ237" s="201"/>
      <c r="AK237" s="198" t="str">
        <f t="shared" si="72"/>
        <v/>
      </c>
      <c r="AL237" s="201"/>
      <c r="AM237" s="198" t="str">
        <f t="shared" si="73"/>
        <v/>
      </c>
      <c r="AN237" s="201"/>
      <c r="AO237" s="198" t="str">
        <f t="shared" si="74"/>
        <v/>
      </c>
      <c r="AP237" s="201">
        <v>2125</v>
      </c>
      <c r="AQ237" s="198">
        <f t="shared" si="75"/>
        <v>5312.5</v>
      </c>
    </row>
    <row r="238" spans="1:43">
      <c r="A238" s="190" t="s">
        <v>290</v>
      </c>
      <c r="B238" s="196">
        <v>1.25</v>
      </c>
      <c r="D238" s="197"/>
      <c r="E238" s="198" t="str">
        <f t="shared" si="57"/>
        <v/>
      </c>
      <c r="F238" s="197">
        <v>383</v>
      </c>
      <c r="G238" s="198">
        <f t="shared" si="57"/>
        <v>306.39999999999998</v>
      </c>
      <c r="H238" s="197"/>
      <c r="I238" s="198" t="str">
        <f t="shared" si="58"/>
        <v/>
      </c>
      <c r="J238" s="197"/>
      <c r="K238" s="198" t="str">
        <f t="shared" si="59"/>
        <v/>
      </c>
      <c r="L238" s="197"/>
      <c r="M238" s="198" t="str">
        <f t="shared" si="60"/>
        <v/>
      </c>
      <c r="N238" s="197"/>
      <c r="O238" s="198" t="str">
        <f t="shared" si="61"/>
        <v/>
      </c>
      <c r="P238" s="197">
        <v>149</v>
      </c>
      <c r="Q238" s="198">
        <f t="shared" si="62"/>
        <v>119.2</v>
      </c>
      <c r="R238" s="197"/>
      <c r="S238" s="198" t="str">
        <f t="shared" si="63"/>
        <v/>
      </c>
      <c r="T238" s="197"/>
      <c r="U238" s="198" t="str">
        <f t="shared" si="64"/>
        <v/>
      </c>
      <c r="V238" s="197"/>
      <c r="W238" s="198" t="str">
        <f t="shared" si="65"/>
        <v/>
      </c>
      <c r="X238" s="197"/>
      <c r="Y238" s="198" t="str">
        <f t="shared" si="66"/>
        <v/>
      </c>
      <c r="Z238" s="197"/>
      <c r="AA238" s="198" t="str">
        <f t="shared" si="67"/>
        <v/>
      </c>
      <c r="AB238" s="197"/>
      <c r="AC238" s="198" t="str">
        <f t="shared" si="68"/>
        <v/>
      </c>
      <c r="AD238" s="197"/>
      <c r="AE238" s="198" t="str">
        <f t="shared" si="69"/>
        <v/>
      </c>
      <c r="AF238" s="197"/>
      <c r="AG238" s="198" t="str">
        <f t="shared" si="70"/>
        <v/>
      </c>
      <c r="AH238" s="197"/>
      <c r="AI238" s="198" t="str">
        <f t="shared" si="71"/>
        <v/>
      </c>
      <c r="AJ238" s="197"/>
      <c r="AK238" s="198" t="str">
        <f t="shared" si="72"/>
        <v/>
      </c>
      <c r="AL238" s="197"/>
      <c r="AM238" s="198" t="str">
        <f t="shared" si="73"/>
        <v/>
      </c>
      <c r="AN238" s="197"/>
      <c r="AO238" s="198" t="str">
        <f t="shared" si="74"/>
        <v/>
      </c>
      <c r="AP238" s="197">
        <v>532</v>
      </c>
      <c r="AQ238" s="198">
        <f t="shared" si="75"/>
        <v>425.6</v>
      </c>
    </row>
    <row r="239" spans="1:43">
      <c r="A239" s="190" t="s">
        <v>291</v>
      </c>
      <c r="B239" s="196">
        <v>0.32</v>
      </c>
      <c r="D239" s="197">
        <v>1289.8699999999999</v>
      </c>
      <c r="E239" s="198">
        <f t="shared" si="57"/>
        <v>4030.8437499999995</v>
      </c>
      <c r="F239" s="197"/>
      <c r="G239" s="198" t="str">
        <f t="shared" si="57"/>
        <v/>
      </c>
      <c r="H239" s="197"/>
      <c r="I239" s="198" t="str">
        <f t="shared" si="58"/>
        <v/>
      </c>
      <c r="J239" s="197"/>
      <c r="K239" s="198" t="str">
        <f t="shared" si="59"/>
        <v/>
      </c>
      <c r="L239" s="197"/>
      <c r="M239" s="198" t="str">
        <f t="shared" si="60"/>
        <v/>
      </c>
      <c r="N239" s="197">
        <v>8.06</v>
      </c>
      <c r="O239" s="198">
        <f t="shared" si="61"/>
        <v>25.1875</v>
      </c>
      <c r="P239" s="197">
        <v>600.01</v>
      </c>
      <c r="Q239" s="198">
        <f t="shared" si="62"/>
        <v>1875.03125</v>
      </c>
      <c r="R239" s="197"/>
      <c r="S239" s="198" t="str">
        <f t="shared" si="63"/>
        <v/>
      </c>
      <c r="T239" s="197"/>
      <c r="U239" s="198" t="str">
        <f t="shared" si="64"/>
        <v/>
      </c>
      <c r="V239" s="197"/>
      <c r="W239" s="198" t="str">
        <f t="shared" si="65"/>
        <v/>
      </c>
      <c r="X239" s="197"/>
      <c r="Y239" s="198" t="str">
        <f t="shared" si="66"/>
        <v/>
      </c>
      <c r="Z239" s="197"/>
      <c r="AA239" s="198" t="str">
        <f t="shared" si="67"/>
        <v/>
      </c>
      <c r="AB239" s="197"/>
      <c r="AC239" s="198" t="str">
        <f t="shared" si="68"/>
        <v/>
      </c>
      <c r="AD239" s="197"/>
      <c r="AE239" s="198" t="str">
        <f t="shared" si="69"/>
        <v/>
      </c>
      <c r="AF239" s="197"/>
      <c r="AG239" s="198" t="str">
        <f t="shared" si="70"/>
        <v/>
      </c>
      <c r="AH239" s="197"/>
      <c r="AI239" s="198" t="str">
        <f t="shared" si="71"/>
        <v/>
      </c>
      <c r="AJ239" s="197">
        <v>150.82</v>
      </c>
      <c r="AK239" s="198">
        <f t="shared" si="72"/>
        <v>471.31249999999994</v>
      </c>
      <c r="AL239" s="197"/>
      <c r="AM239" s="198" t="str">
        <f t="shared" si="73"/>
        <v/>
      </c>
      <c r="AN239" s="197">
        <v>109.81</v>
      </c>
      <c r="AO239" s="198">
        <f t="shared" si="74"/>
        <v>343.15625</v>
      </c>
      <c r="AP239" s="197">
        <v>868.7</v>
      </c>
      <c r="AQ239" s="198">
        <f t="shared" si="75"/>
        <v>2714.6875</v>
      </c>
    </row>
    <row r="240" spans="1:43">
      <c r="A240" s="200"/>
      <c r="B240">
        <v>0.41</v>
      </c>
      <c r="D240" s="201">
        <v>1638.77</v>
      </c>
      <c r="E240" s="198">
        <f t="shared" si="57"/>
        <v>3997</v>
      </c>
      <c r="F240" s="201"/>
      <c r="G240" s="198" t="str">
        <f t="shared" si="57"/>
        <v/>
      </c>
      <c r="H240" s="201"/>
      <c r="I240" s="198" t="str">
        <f t="shared" si="58"/>
        <v/>
      </c>
      <c r="J240" s="201"/>
      <c r="K240" s="198" t="str">
        <f t="shared" si="59"/>
        <v/>
      </c>
      <c r="L240" s="201"/>
      <c r="M240" s="198" t="str">
        <f t="shared" si="60"/>
        <v/>
      </c>
      <c r="N240" s="201">
        <v>10.23</v>
      </c>
      <c r="O240" s="198">
        <f t="shared" si="61"/>
        <v>24.951219512195124</v>
      </c>
      <c r="P240" s="201">
        <v>762.31</v>
      </c>
      <c r="Q240" s="198">
        <f t="shared" si="62"/>
        <v>1859.2926829268292</v>
      </c>
      <c r="R240" s="201"/>
      <c r="S240" s="198" t="str">
        <f t="shared" si="63"/>
        <v/>
      </c>
      <c r="T240" s="201"/>
      <c r="U240" s="198" t="str">
        <f t="shared" si="64"/>
        <v/>
      </c>
      <c r="V240" s="201"/>
      <c r="W240" s="198" t="str">
        <f t="shared" si="65"/>
        <v/>
      </c>
      <c r="X240" s="201"/>
      <c r="Y240" s="198" t="str">
        <f t="shared" si="66"/>
        <v/>
      </c>
      <c r="Z240" s="201"/>
      <c r="AA240" s="198" t="str">
        <f t="shared" si="67"/>
        <v/>
      </c>
      <c r="AB240" s="201"/>
      <c r="AC240" s="198" t="str">
        <f t="shared" si="68"/>
        <v/>
      </c>
      <c r="AD240" s="201"/>
      <c r="AE240" s="198" t="str">
        <f t="shared" si="69"/>
        <v/>
      </c>
      <c r="AF240" s="201"/>
      <c r="AG240" s="198" t="str">
        <f t="shared" si="70"/>
        <v/>
      </c>
      <c r="AH240" s="201"/>
      <c r="AI240" s="198" t="str">
        <f t="shared" si="71"/>
        <v/>
      </c>
      <c r="AJ240" s="201">
        <v>191.61</v>
      </c>
      <c r="AK240" s="198">
        <f t="shared" si="72"/>
        <v>467.34146341463423</v>
      </c>
      <c r="AL240" s="201"/>
      <c r="AM240" s="198" t="str">
        <f t="shared" si="73"/>
        <v/>
      </c>
      <c r="AN240" s="201">
        <v>142.26</v>
      </c>
      <c r="AO240" s="198">
        <f t="shared" si="74"/>
        <v>346.97560975609758</v>
      </c>
      <c r="AP240" s="201">
        <v>1106.4100000000001</v>
      </c>
      <c r="AQ240" s="198">
        <f t="shared" si="75"/>
        <v>2698.5609756097565</v>
      </c>
    </row>
    <row r="241" spans="1:43">
      <c r="A241" s="200"/>
      <c r="B241">
        <v>1E-3</v>
      </c>
      <c r="D241" s="201"/>
      <c r="E241" s="198" t="str">
        <f t="shared" si="57"/>
        <v/>
      </c>
      <c r="F241" s="201">
        <v>1262.3499999999999</v>
      </c>
      <c r="G241" s="198">
        <f t="shared" si="57"/>
        <v>1262349.9999999998</v>
      </c>
      <c r="H241" s="201"/>
      <c r="I241" s="198" t="str">
        <f t="shared" si="58"/>
        <v/>
      </c>
      <c r="J241" s="201"/>
      <c r="K241" s="198" t="str">
        <f t="shared" si="59"/>
        <v/>
      </c>
      <c r="L241" s="201"/>
      <c r="M241" s="198" t="str">
        <f t="shared" si="60"/>
        <v/>
      </c>
      <c r="N241" s="201"/>
      <c r="O241" s="198" t="str">
        <f t="shared" si="61"/>
        <v/>
      </c>
      <c r="P241" s="201"/>
      <c r="Q241" s="198" t="str">
        <f t="shared" si="62"/>
        <v/>
      </c>
      <c r="R241" s="201"/>
      <c r="S241" s="198" t="str">
        <f t="shared" si="63"/>
        <v/>
      </c>
      <c r="T241" s="201"/>
      <c r="U241" s="198" t="str">
        <f t="shared" si="64"/>
        <v/>
      </c>
      <c r="V241" s="201"/>
      <c r="W241" s="198" t="str">
        <f t="shared" si="65"/>
        <v/>
      </c>
      <c r="X241" s="201"/>
      <c r="Y241" s="198" t="str">
        <f t="shared" si="66"/>
        <v/>
      </c>
      <c r="Z241" s="201"/>
      <c r="AA241" s="198" t="str">
        <f t="shared" si="67"/>
        <v/>
      </c>
      <c r="AB241" s="201"/>
      <c r="AC241" s="198" t="str">
        <f t="shared" si="68"/>
        <v/>
      </c>
      <c r="AD241" s="201"/>
      <c r="AE241" s="198" t="str">
        <f t="shared" si="69"/>
        <v/>
      </c>
      <c r="AF241" s="201"/>
      <c r="AG241" s="198" t="str">
        <f t="shared" si="70"/>
        <v/>
      </c>
      <c r="AH241" s="201"/>
      <c r="AI241" s="198" t="str">
        <f t="shared" si="71"/>
        <v/>
      </c>
      <c r="AJ241" s="201"/>
      <c r="AK241" s="198" t="str">
        <f t="shared" si="72"/>
        <v/>
      </c>
      <c r="AL241" s="201"/>
      <c r="AM241" s="198" t="str">
        <f t="shared" si="73"/>
        <v/>
      </c>
      <c r="AN241" s="201"/>
      <c r="AO241" s="198" t="str">
        <f t="shared" si="74"/>
        <v/>
      </c>
      <c r="AP241" s="201">
        <v>1262.3499999999999</v>
      </c>
      <c r="AQ241" s="198">
        <f t="shared" si="75"/>
        <v>1262349.9999999998</v>
      </c>
    </row>
    <row r="242" spans="1:43">
      <c r="A242" s="200"/>
      <c r="B242">
        <v>0.26</v>
      </c>
      <c r="D242" s="201">
        <v>1025.56</v>
      </c>
      <c r="E242" s="198">
        <f t="shared" si="57"/>
        <v>3944.4615384615381</v>
      </c>
      <c r="F242" s="201"/>
      <c r="G242" s="198" t="str">
        <f t="shared" si="57"/>
        <v/>
      </c>
      <c r="H242" s="201"/>
      <c r="I242" s="198" t="str">
        <f t="shared" si="58"/>
        <v/>
      </c>
      <c r="J242" s="201"/>
      <c r="K242" s="198" t="str">
        <f t="shared" si="59"/>
        <v/>
      </c>
      <c r="L242" s="201"/>
      <c r="M242" s="198" t="str">
        <f t="shared" si="60"/>
        <v/>
      </c>
      <c r="N242" s="201">
        <v>60.51</v>
      </c>
      <c r="O242" s="198">
        <f t="shared" si="61"/>
        <v>232.73076923076923</v>
      </c>
      <c r="P242" s="201">
        <v>477.06</v>
      </c>
      <c r="Q242" s="198">
        <f t="shared" si="62"/>
        <v>1834.8461538461538</v>
      </c>
      <c r="R242" s="201"/>
      <c r="S242" s="198" t="str">
        <f t="shared" si="63"/>
        <v/>
      </c>
      <c r="T242" s="201"/>
      <c r="U242" s="198" t="str">
        <f t="shared" si="64"/>
        <v/>
      </c>
      <c r="V242" s="201"/>
      <c r="W242" s="198" t="str">
        <f t="shared" si="65"/>
        <v/>
      </c>
      <c r="X242" s="201"/>
      <c r="Y242" s="198" t="str">
        <f t="shared" si="66"/>
        <v/>
      </c>
      <c r="Z242" s="201"/>
      <c r="AA242" s="198" t="str">
        <f t="shared" si="67"/>
        <v/>
      </c>
      <c r="AB242" s="201"/>
      <c r="AC242" s="198" t="str">
        <f t="shared" si="68"/>
        <v/>
      </c>
      <c r="AD242" s="201"/>
      <c r="AE242" s="198" t="str">
        <f t="shared" si="69"/>
        <v/>
      </c>
      <c r="AF242" s="201"/>
      <c r="AG242" s="198" t="str">
        <f t="shared" si="70"/>
        <v/>
      </c>
      <c r="AH242" s="201"/>
      <c r="AI242" s="198" t="str">
        <f t="shared" si="71"/>
        <v/>
      </c>
      <c r="AJ242" s="201">
        <v>119.91</v>
      </c>
      <c r="AK242" s="198">
        <f t="shared" si="72"/>
        <v>461.19230769230768</v>
      </c>
      <c r="AL242" s="201"/>
      <c r="AM242" s="198" t="str">
        <f t="shared" si="73"/>
        <v/>
      </c>
      <c r="AN242" s="201">
        <v>87.3</v>
      </c>
      <c r="AO242" s="198">
        <f t="shared" si="74"/>
        <v>335.76923076923077</v>
      </c>
      <c r="AP242" s="201">
        <v>744.78</v>
      </c>
      <c r="AQ242" s="198">
        <f t="shared" si="75"/>
        <v>2864.5384615384614</v>
      </c>
    </row>
    <row r="243" spans="1:43">
      <c r="A243" s="200"/>
      <c r="D243" s="201"/>
      <c r="E243" s="198" t="str">
        <f t="shared" si="57"/>
        <v/>
      </c>
      <c r="F243" s="201"/>
      <c r="G243" s="198" t="str">
        <f t="shared" si="57"/>
        <v/>
      </c>
      <c r="H243" s="201"/>
      <c r="I243" s="198" t="str">
        <f t="shared" si="58"/>
        <v/>
      </c>
      <c r="J243" s="201"/>
      <c r="K243" s="198" t="str">
        <f t="shared" si="59"/>
        <v/>
      </c>
      <c r="L243" s="201"/>
      <c r="M243" s="198" t="str">
        <f t="shared" si="60"/>
        <v/>
      </c>
      <c r="N243" s="201"/>
      <c r="O243" s="198" t="str">
        <f t="shared" si="61"/>
        <v/>
      </c>
      <c r="P243" s="201"/>
      <c r="Q243" s="198" t="str">
        <f t="shared" si="62"/>
        <v/>
      </c>
      <c r="R243" s="201"/>
      <c r="S243" s="198" t="str">
        <f t="shared" si="63"/>
        <v/>
      </c>
      <c r="T243" s="201"/>
      <c r="U243" s="198" t="str">
        <f t="shared" si="64"/>
        <v/>
      </c>
      <c r="V243" s="201"/>
      <c r="W243" s="198" t="str">
        <f t="shared" si="65"/>
        <v/>
      </c>
      <c r="X243" s="201"/>
      <c r="Y243" s="198" t="str">
        <f t="shared" si="66"/>
        <v/>
      </c>
      <c r="Z243" s="201"/>
      <c r="AA243" s="198" t="str">
        <f t="shared" si="67"/>
        <v/>
      </c>
      <c r="AB243" s="201"/>
      <c r="AC243" s="198" t="str">
        <f t="shared" si="68"/>
        <v/>
      </c>
      <c r="AD243" s="201">
        <v>1553.13</v>
      </c>
      <c r="AE243" s="198" t="str">
        <f t="shared" si="69"/>
        <v/>
      </c>
      <c r="AF243" s="201"/>
      <c r="AG243" s="198" t="str">
        <f t="shared" si="70"/>
        <v/>
      </c>
      <c r="AH243" s="201"/>
      <c r="AI243" s="198" t="str">
        <f t="shared" si="71"/>
        <v/>
      </c>
      <c r="AJ243" s="201"/>
      <c r="AK243" s="198" t="str">
        <f t="shared" si="72"/>
        <v/>
      </c>
      <c r="AL243" s="201"/>
      <c r="AM243" s="198" t="str">
        <f t="shared" si="73"/>
        <v/>
      </c>
      <c r="AN243" s="201"/>
      <c r="AO243" s="198" t="str">
        <f t="shared" si="74"/>
        <v/>
      </c>
      <c r="AP243" s="201">
        <v>1553.13</v>
      </c>
      <c r="AQ243" s="198" t="str">
        <f t="shared" si="75"/>
        <v/>
      </c>
    </row>
    <row r="244" spans="1:43">
      <c r="A244" s="200"/>
      <c r="B244">
        <v>2.31</v>
      </c>
      <c r="D244" s="201">
        <v>9293.44</v>
      </c>
      <c r="E244" s="198">
        <f t="shared" si="57"/>
        <v>4023.1341991341992</v>
      </c>
      <c r="F244" s="201">
        <v>7997</v>
      </c>
      <c r="G244" s="198">
        <f t="shared" si="57"/>
        <v>3461.9047619047619</v>
      </c>
      <c r="H244" s="201"/>
      <c r="I244" s="198" t="str">
        <f t="shared" si="58"/>
        <v/>
      </c>
      <c r="J244" s="201"/>
      <c r="K244" s="198" t="str">
        <f t="shared" si="59"/>
        <v/>
      </c>
      <c r="L244" s="201"/>
      <c r="M244" s="198" t="str">
        <f t="shared" si="60"/>
        <v/>
      </c>
      <c r="N244" s="201">
        <v>1114.1199999999999</v>
      </c>
      <c r="O244" s="198">
        <f t="shared" si="61"/>
        <v>482.30303030303025</v>
      </c>
      <c r="P244" s="201">
        <v>4435.7700000000004</v>
      </c>
      <c r="Q244" s="198">
        <f t="shared" si="62"/>
        <v>1920.2467532467533</v>
      </c>
      <c r="R244" s="201"/>
      <c r="S244" s="198" t="str">
        <f t="shared" si="63"/>
        <v/>
      </c>
      <c r="T244" s="201">
        <v>429.58</v>
      </c>
      <c r="U244" s="198">
        <f t="shared" si="64"/>
        <v>185.96536796536796</v>
      </c>
      <c r="V244" s="201"/>
      <c r="W244" s="198" t="str">
        <f t="shared" si="65"/>
        <v/>
      </c>
      <c r="X244" s="201"/>
      <c r="Y244" s="198" t="str">
        <f t="shared" si="66"/>
        <v/>
      </c>
      <c r="Z244" s="201"/>
      <c r="AA244" s="198" t="str">
        <f t="shared" si="67"/>
        <v/>
      </c>
      <c r="AB244" s="201"/>
      <c r="AC244" s="198" t="str">
        <f t="shared" si="68"/>
        <v/>
      </c>
      <c r="AD244" s="201"/>
      <c r="AE244" s="198" t="str">
        <f t="shared" si="69"/>
        <v/>
      </c>
      <c r="AF244" s="201"/>
      <c r="AG244" s="198" t="str">
        <f t="shared" si="70"/>
        <v/>
      </c>
      <c r="AH244" s="201"/>
      <c r="AI244" s="198" t="str">
        <f t="shared" si="71"/>
        <v/>
      </c>
      <c r="AJ244" s="201">
        <v>10436.129999999999</v>
      </c>
      <c r="AK244" s="198">
        <f t="shared" si="72"/>
        <v>4517.8051948051943</v>
      </c>
      <c r="AL244" s="201"/>
      <c r="AM244" s="198" t="str">
        <f t="shared" si="73"/>
        <v/>
      </c>
      <c r="AN244" s="201">
        <v>1689.47</v>
      </c>
      <c r="AO244" s="198">
        <f t="shared" si="74"/>
        <v>731.37229437229439</v>
      </c>
      <c r="AP244" s="201">
        <v>26102.07</v>
      </c>
      <c r="AQ244" s="198">
        <f t="shared" si="75"/>
        <v>11299.597402597403</v>
      </c>
    </row>
    <row r="245" spans="1:43">
      <c r="A245" s="190" t="s">
        <v>292</v>
      </c>
      <c r="B245" s="196">
        <v>0</v>
      </c>
      <c r="D245" s="197">
        <v>351</v>
      </c>
      <c r="E245" s="198" t="str">
        <f t="shared" si="57"/>
        <v/>
      </c>
      <c r="F245" s="197"/>
      <c r="G245" s="198" t="str">
        <f t="shared" si="57"/>
        <v/>
      </c>
      <c r="H245" s="197"/>
      <c r="I245" s="198" t="str">
        <f t="shared" si="58"/>
        <v/>
      </c>
      <c r="J245" s="197"/>
      <c r="K245" s="198" t="str">
        <f t="shared" si="59"/>
        <v/>
      </c>
      <c r="L245" s="197"/>
      <c r="M245" s="198" t="str">
        <f t="shared" si="60"/>
        <v/>
      </c>
      <c r="N245" s="197"/>
      <c r="O245" s="198" t="str">
        <f t="shared" si="61"/>
        <v/>
      </c>
      <c r="P245" s="197"/>
      <c r="Q245" s="198" t="str">
        <f t="shared" si="62"/>
        <v/>
      </c>
      <c r="R245" s="197"/>
      <c r="S245" s="198" t="str">
        <f t="shared" si="63"/>
        <v/>
      </c>
      <c r="T245" s="197"/>
      <c r="U245" s="198" t="str">
        <f t="shared" si="64"/>
        <v/>
      </c>
      <c r="V245" s="197"/>
      <c r="W245" s="198" t="str">
        <f t="shared" si="65"/>
        <v/>
      </c>
      <c r="X245" s="197"/>
      <c r="Y245" s="198" t="str">
        <f t="shared" si="66"/>
        <v/>
      </c>
      <c r="Z245" s="197"/>
      <c r="AA245" s="198" t="str">
        <f t="shared" si="67"/>
        <v/>
      </c>
      <c r="AB245" s="197"/>
      <c r="AC245" s="198" t="str">
        <f t="shared" si="68"/>
        <v/>
      </c>
      <c r="AD245" s="197"/>
      <c r="AE245" s="198" t="str">
        <f t="shared" si="69"/>
        <v/>
      </c>
      <c r="AF245" s="197"/>
      <c r="AG245" s="198" t="str">
        <f t="shared" si="70"/>
        <v/>
      </c>
      <c r="AH245" s="197"/>
      <c r="AI245" s="198" t="str">
        <f t="shared" si="71"/>
        <v/>
      </c>
      <c r="AJ245" s="197"/>
      <c r="AK245" s="198" t="str">
        <f t="shared" si="72"/>
        <v/>
      </c>
      <c r="AL245" s="197"/>
      <c r="AM245" s="198" t="str">
        <f t="shared" si="73"/>
        <v/>
      </c>
      <c r="AN245" s="197"/>
      <c r="AO245" s="198" t="str">
        <f t="shared" si="74"/>
        <v/>
      </c>
      <c r="AP245" s="197"/>
      <c r="AQ245" s="198" t="str">
        <f t="shared" si="75"/>
        <v/>
      </c>
    </row>
    <row r="246" spans="1:43">
      <c r="A246" s="200"/>
      <c r="B246">
        <v>7.62</v>
      </c>
      <c r="D246" s="201">
        <v>15849</v>
      </c>
      <c r="E246" s="198">
        <f t="shared" si="57"/>
        <v>2079.9212598425197</v>
      </c>
      <c r="F246" s="201"/>
      <c r="G246" s="198" t="str">
        <f t="shared" si="57"/>
        <v/>
      </c>
      <c r="H246" s="201"/>
      <c r="I246" s="198" t="str">
        <f t="shared" si="58"/>
        <v/>
      </c>
      <c r="J246" s="201"/>
      <c r="K246" s="198" t="str">
        <f t="shared" si="59"/>
        <v/>
      </c>
      <c r="L246" s="201"/>
      <c r="M246" s="198" t="str">
        <f t="shared" si="60"/>
        <v/>
      </c>
      <c r="N246" s="201">
        <v>531</v>
      </c>
      <c r="O246" s="198">
        <f t="shared" si="61"/>
        <v>69.685039370078741</v>
      </c>
      <c r="P246" s="201">
        <v>7893</v>
      </c>
      <c r="Q246" s="198">
        <f t="shared" si="62"/>
        <v>1035.8267716535433</v>
      </c>
      <c r="R246" s="201"/>
      <c r="S246" s="198" t="str">
        <f t="shared" si="63"/>
        <v/>
      </c>
      <c r="T246" s="201"/>
      <c r="U246" s="198" t="str">
        <f t="shared" si="64"/>
        <v/>
      </c>
      <c r="V246" s="201"/>
      <c r="W246" s="198" t="str">
        <f t="shared" si="65"/>
        <v/>
      </c>
      <c r="X246" s="201"/>
      <c r="Y246" s="198" t="str">
        <f t="shared" si="66"/>
        <v/>
      </c>
      <c r="Z246" s="201"/>
      <c r="AA246" s="198" t="str">
        <f t="shared" si="67"/>
        <v/>
      </c>
      <c r="AB246" s="201"/>
      <c r="AC246" s="198" t="str">
        <f t="shared" si="68"/>
        <v/>
      </c>
      <c r="AD246" s="201">
        <v>106</v>
      </c>
      <c r="AE246" s="198">
        <f t="shared" si="69"/>
        <v>13.910761154855642</v>
      </c>
      <c r="AF246" s="201"/>
      <c r="AG246" s="198" t="str">
        <f t="shared" si="70"/>
        <v/>
      </c>
      <c r="AH246" s="201"/>
      <c r="AI246" s="198" t="str">
        <f t="shared" si="71"/>
        <v/>
      </c>
      <c r="AJ246" s="201">
        <v>3768</v>
      </c>
      <c r="AK246" s="198">
        <f t="shared" si="72"/>
        <v>494.48818897637796</v>
      </c>
      <c r="AL246" s="201"/>
      <c r="AM246" s="198" t="str">
        <f t="shared" si="73"/>
        <v/>
      </c>
      <c r="AN246" s="201">
        <v>10319</v>
      </c>
      <c r="AO246" s="198">
        <f t="shared" si="74"/>
        <v>1354.1994750656168</v>
      </c>
      <c r="AP246" s="201">
        <v>22617</v>
      </c>
      <c r="AQ246" s="198">
        <f t="shared" si="75"/>
        <v>2968.1102362204724</v>
      </c>
    </row>
    <row r="247" spans="1:43">
      <c r="A247" s="200"/>
      <c r="B247">
        <v>1.04</v>
      </c>
      <c r="D247" s="201">
        <v>5565</v>
      </c>
      <c r="E247" s="198">
        <f t="shared" si="57"/>
        <v>5350.9615384615381</v>
      </c>
      <c r="F247" s="201"/>
      <c r="G247" s="198" t="str">
        <f t="shared" si="57"/>
        <v/>
      </c>
      <c r="H247" s="201"/>
      <c r="I247" s="198" t="str">
        <f t="shared" si="58"/>
        <v/>
      </c>
      <c r="J247" s="201"/>
      <c r="K247" s="198" t="str">
        <f t="shared" si="59"/>
        <v/>
      </c>
      <c r="L247" s="201"/>
      <c r="M247" s="198" t="str">
        <f t="shared" si="60"/>
        <v/>
      </c>
      <c r="N247" s="201"/>
      <c r="O247" s="198" t="str">
        <f t="shared" si="61"/>
        <v/>
      </c>
      <c r="P247" s="201">
        <v>849</v>
      </c>
      <c r="Q247" s="198">
        <f t="shared" si="62"/>
        <v>816.34615384615381</v>
      </c>
      <c r="R247" s="201"/>
      <c r="S247" s="198" t="str">
        <f t="shared" si="63"/>
        <v/>
      </c>
      <c r="T247" s="201"/>
      <c r="U247" s="198" t="str">
        <f t="shared" si="64"/>
        <v/>
      </c>
      <c r="V247" s="201"/>
      <c r="W247" s="198" t="str">
        <f t="shared" si="65"/>
        <v/>
      </c>
      <c r="X247" s="201"/>
      <c r="Y247" s="198" t="str">
        <f t="shared" si="66"/>
        <v/>
      </c>
      <c r="Z247" s="201"/>
      <c r="AA247" s="198" t="str">
        <f t="shared" si="67"/>
        <v/>
      </c>
      <c r="AB247" s="201"/>
      <c r="AC247" s="198" t="str">
        <f t="shared" si="68"/>
        <v/>
      </c>
      <c r="AD247" s="201"/>
      <c r="AE247" s="198" t="str">
        <f t="shared" si="69"/>
        <v/>
      </c>
      <c r="AF247" s="201"/>
      <c r="AG247" s="198" t="str">
        <f t="shared" si="70"/>
        <v/>
      </c>
      <c r="AH247" s="201"/>
      <c r="AI247" s="198" t="str">
        <f t="shared" si="71"/>
        <v/>
      </c>
      <c r="AJ247" s="201">
        <v>222</v>
      </c>
      <c r="AK247" s="198">
        <f t="shared" si="72"/>
        <v>213.46153846153845</v>
      </c>
      <c r="AL247" s="201"/>
      <c r="AM247" s="198" t="str">
        <f t="shared" si="73"/>
        <v/>
      </c>
      <c r="AN247" s="201">
        <v>245</v>
      </c>
      <c r="AO247" s="198">
        <f t="shared" si="74"/>
        <v>235.57692307692307</v>
      </c>
      <c r="AP247" s="201">
        <v>1316</v>
      </c>
      <c r="AQ247" s="198">
        <f t="shared" si="75"/>
        <v>1265.3846153846152</v>
      </c>
    </row>
    <row r="248" spans="1:43">
      <c r="A248" s="200"/>
      <c r="B248">
        <v>0.1</v>
      </c>
      <c r="D248" s="201">
        <v>183</v>
      </c>
      <c r="E248" s="198">
        <f t="shared" si="57"/>
        <v>1830</v>
      </c>
      <c r="F248" s="201"/>
      <c r="G248" s="198" t="str">
        <f t="shared" si="57"/>
        <v/>
      </c>
      <c r="H248" s="201"/>
      <c r="I248" s="198" t="str">
        <f t="shared" si="58"/>
        <v/>
      </c>
      <c r="J248" s="201"/>
      <c r="K248" s="198" t="str">
        <f t="shared" si="59"/>
        <v/>
      </c>
      <c r="L248" s="201"/>
      <c r="M248" s="198" t="str">
        <f t="shared" si="60"/>
        <v/>
      </c>
      <c r="N248" s="201"/>
      <c r="O248" s="198" t="str">
        <f t="shared" si="61"/>
        <v/>
      </c>
      <c r="P248" s="201"/>
      <c r="Q248" s="198" t="str">
        <f t="shared" si="62"/>
        <v/>
      </c>
      <c r="R248" s="201"/>
      <c r="S248" s="198" t="str">
        <f t="shared" si="63"/>
        <v/>
      </c>
      <c r="T248" s="201"/>
      <c r="U248" s="198" t="str">
        <f t="shared" si="64"/>
        <v/>
      </c>
      <c r="V248" s="201"/>
      <c r="W248" s="198" t="str">
        <f t="shared" si="65"/>
        <v/>
      </c>
      <c r="X248" s="201"/>
      <c r="Y248" s="198" t="str">
        <f t="shared" si="66"/>
        <v/>
      </c>
      <c r="Z248" s="201"/>
      <c r="AA248" s="198" t="str">
        <f t="shared" si="67"/>
        <v/>
      </c>
      <c r="AB248" s="201"/>
      <c r="AC248" s="198" t="str">
        <f t="shared" si="68"/>
        <v/>
      </c>
      <c r="AD248" s="201"/>
      <c r="AE248" s="198" t="str">
        <f t="shared" si="69"/>
        <v/>
      </c>
      <c r="AF248" s="201"/>
      <c r="AG248" s="198" t="str">
        <f t="shared" si="70"/>
        <v/>
      </c>
      <c r="AH248" s="201"/>
      <c r="AI248" s="198" t="str">
        <f t="shared" si="71"/>
        <v/>
      </c>
      <c r="AJ248" s="201"/>
      <c r="AK248" s="198" t="str">
        <f t="shared" si="72"/>
        <v/>
      </c>
      <c r="AL248" s="201"/>
      <c r="AM248" s="198" t="str">
        <f t="shared" si="73"/>
        <v/>
      </c>
      <c r="AN248" s="201">
        <v>4894</v>
      </c>
      <c r="AO248" s="198">
        <f t="shared" si="74"/>
        <v>48940</v>
      </c>
      <c r="AP248" s="201">
        <v>4894</v>
      </c>
      <c r="AQ248" s="198">
        <f t="shared" si="75"/>
        <v>48940</v>
      </c>
    </row>
    <row r="249" spans="1:43">
      <c r="A249" s="200"/>
      <c r="B249">
        <v>0.9</v>
      </c>
      <c r="D249" s="201">
        <v>1678</v>
      </c>
      <c r="E249" s="198">
        <f t="shared" si="57"/>
        <v>1864.4444444444443</v>
      </c>
      <c r="F249" s="201"/>
      <c r="G249" s="198" t="str">
        <f t="shared" si="57"/>
        <v/>
      </c>
      <c r="H249" s="201"/>
      <c r="I249" s="198" t="str">
        <f t="shared" si="58"/>
        <v/>
      </c>
      <c r="J249" s="201"/>
      <c r="K249" s="198" t="str">
        <f t="shared" si="59"/>
        <v/>
      </c>
      <c r="L249" s="201"/>
      <c r="M249" s="198" t="str">
        <f t="shared" si="60"/>
        <v/>
      </c>
      <c r="N249" s="201"/>
      <c r="O249" s="198" t="str">
        <f t="shared" si="61"/>
        <v/>
      </c>
      <c r="P249" s="201">
        <v>1537</v>
      </c>
      <c r="Q249" s="198">
        <f t="shared" si="62"/>
        <v>1707.7777777777778</v>
      </c>
      <c r="R249" s="201"/>
      <c r="S249" s="198" t="str">
        <f t="shared" si="63"/>
        <v/>
      </c>
      <c r="T249" s="201"/>
      <c r="U249" s="198" t="str">
        <f t="shared" si="64"/>
        <v/>
      </c>
      <c r="V249" s="201"/>
      <c r="W249" s="198" t="str">
        <f t="shared" si="65"/>
        <v/>
      </c>
      <c r="X249" s="201"/>
      <c r="Y249" s="198" t="str">
        <f t="shared" si="66"/>
        <v/>
      </c>
      <c r="Z249" s="201"/>
      <c r="AA249" s="198" t="str">
        <f t="shared" si="67"/>
        <v/>
      </c>
      <c r="AB249" s="201"/>
      <c r="AC249" s="198" t="str">
        <f t="shared" si="68"/>
        <v/>
      </c>
      <c r="AD249" s="201"/>
      <c r="AE249" s="198" t="str">
        <f t="shared" si="69"/>
        <v/>
      </c>
      <c r="AF249" s="201"/>
      <c r="AG249" s="198" t="str">
        <f t="shared" si="70"/>
        <v/>
      </c>
      <c r="AH249" s="201"/>
      <c r="AI249" s="198" t="str">
        <f t="shared" si="71"/>
        <v/>
      </c>
      <c r="AJ249" s="201">
        <v>14</v>
      </c>
      <c r="AK249" s="198">
        <f t="shared" si="72"/>
        <v>15.555555555555555</v>
      </c>
      <c r="AL249" s="201"/>
      <c r="AM249" s="198" t="str">
        <f t="shared" si="73"/>
        <v/>
      </c>
      <c r="AN249" s="201">
        <v>718</v>
      </c>
      <c r="AO249" s="198">
        <f t="shared" si="74"/>
        <v>797.77777777777771</v>
      </c>
      <c r="AP249" s="201">
        <v>2269</v>
      </c>
      <c r="AQ249" s="198">
        <f t="shared" si="75"/>
        <v>2521.1111111111109</v>
      </c>
    </row>
    <row r="250" spans="1:43">
      <c r="A250" s="200"/>
      <c r="B250">
        <v>0.09</v>
      </c>
      <c r="D250" s="201">
        <v>14473</v>
      </c>
      <c r="E250" s="198">
        <f t="shared" si="57"/>
        <v>160811.11111111112</v>
      </c>
      <c r="F250" s="201"/>
      <c r="G250" s="198" t="str">
        <f t="shared" si="57"/>
        <v/>
      </c>
      <c r="H250" s="201"/>
      <c r="I250" s="198" t="str">
        <f t="shared" si="58"/>
        <v/>
      </c>
      <c r="J250" s="201"/>
      <c r="K250" s="198" t="str">
        <f t="shared" si="59"/>
        <v/>
      </c>
      <c r="L250" s="201"/>
      <c r="M250" s="198" t="str">
        <f t="shared" si="60"/>
        <v/>
      </c>
      <c r="N250" s="201">
        <v>247</v>
      </c>
      <c r="O250" s="198">
        <f t="shared" si="61"/>
        <v>2744.4444444444443</v>
      </c>
      <c r="P250" s="201"/>
      <c r="Q250" s="198" t="str">
        <f t="shared" si="62"/>
        <v/>
      </c>
      <c r="R250" s="201"/>
      <c r="S250" s="198" t="str">
        <f t="shared" si="63"/>
        <v/>
      </c>
      <c r="T250" s="201"/>
      <c r="U250" s="198" t="str">
        <f t="shared" si="64"/>
        <v/>
      </c>
      <c r="V250" s="201"/>
      <c r="W250" s="198" t="str">
        <f t="shared" si="65"/>
        <v/>
      </c>
      <c r="X250" s="201"/>
      <c r="Y250" s="198" t="str">
        <f t="shared" si="66"/>
        <v/>
      </c>
      <c r="Z250" s="201"/>
      <c r="AA250" s="198" t="str">
        <f t="shared" si="67"/>
        <v/>
      </c>
      <c r="AB250" s="201"/>
      <c r="AC250" s="198" t="str">
        <f t="shared" si="68"/>
        <v/>
      </c>
      <c r="AD250" s="201"/>
      <c r="AE250" s="198" t="str">
        <f t="shared" si="69"/>
        <v/>
      </c>
      <c r="AF250" s="201"/>
      <c r="AG250" s="198" t="str">
        <f t="shared" si="70"/>
        <v/>
      </c>
      <c r="AH250" s="201"/>
      <c r="AI250" s="198" t="str">
        <f t="shared" si="71"/>
        <v/>
      </c>
      <c r="AJ250" s="201">
        <v>15</v>
      </c>
      <c r="AK250" s="198">
        <f t="shared" si="72"/>
        <v>166.66666666666669</v>
      </c>
      <c r="AL250" s="201"/>
      <c r="AM250" s="198" t="str">
        <f t="shared" si="73"/>
        <v/>
      </c>
      <c r="AN250" s="201">
        <v>59</v>
      </c>
      <c r="AO250" s="198">
        <f t="shared" si="74"/>
        <v>655.55555555555554</v>
      </c>
      <c r="AP250" s="201">
        <v>321</v>
      </c>
      <c r="AQ250" s="198">
        <f t="shared" si="75"/>
        <v>3566.666666666667</v>
      </c>
    </row>
    <row r="251" spans="1:43">
      <c r="A251" s="200"/>
      <c r="D251" s="201"/>
      <c r="E251" s="198" t="str">
        <f t="shared" si="57"/>
        <v/>
      </c>
      <c r="F251" s="201"/>
      <c r="G251" s="198" t="str">
        <f t="shared" si="57"/>
        <v/>
      </c>
      <c r="H251" s="201"/>
      <c r="I251" s="198" t="str">
        <f t="shared" si="58"/>
        <v/>
      </c>
      <c r="J251" s="201">
        <v>7258</v>
      </c>
      <c r="K251" s="198" t="str">
        <f t="shared" si="59"/>
        <v/>
      </c>
      <c r="L251" s="201"/>
      <c r="M251" s="198" t="str">
        <f t="shared" si="60"/>
        <v/>
      </c>
      <c r="N251" s="201"/>
      <c r="O251" s="198" t="str">
        <f t="shared" si="61"/>
        <v/>
      </c>
      <c r="P251" s="201"/>
      <c r="Q251" s="198" t="str">
        <f t="shared" si="62"/>
        <v/>
      </c>
      <c r="R251" s="201"/>
      <c r="S251" s="198" t="str">
        <f t="shared" si="63"/>
        <v/>
      </c>
      <c r="T251" s="201"/>
      <c r="U251" s="198" t="str">
        <f t="shared" si="64"/>
        <v/>
      </c>
      <c r="V251" s="201"/>
      <c r="W251" s="198" t="str">
        <f t="shared" si="65"/>
        <v/>
      </c>
      <c r="X251" s="201"/>
      <c r="Y251" s="198" t="str">
        <f t="shared" si="66"/>
        <v/>
      </c>
      <c r="Z251" s="201"/>
      <c r="AA251" s="198" t="str">
        <f t="shared" si="67"/>
        <v/>
      </c>
      <c r="AB251" s="201"/>
      <c r="AC251" s="198" t="str">
        <f t="shared" si="68"/>
        <v/>
      </c>
      <c r="AD251" s="201"/>
      <c r="AE251" s="198" t="str">
        <f t="shared" si="69"/>
        <v/>
      </c>
      <c r="AF251" s="201"/>
      <c r="AG251" s="198" t="str">
        <f t="shared" si="70"/>
        <v/>
      </c>
      <c r="AH251" s="201"/>
      <c r="AI251" s="198" t="str">
        <f t="shared" si="71"/>
        <v/>
      </c>
      <c r="AJ251" s="201">
        <v>60</v>
      </c>
      <c r="AK251" s="198" t="str">
        <f t="shared" si="72"/>
        <v/>
      </c>
      <c r="AL251" s="201"/>
      <c r="AM251" s="198" t="str">
        <f t="shared" si="73"/>
        <v/>
      </c>
      <c r="AN251" s="201"/>
      <c r="AO251" s="198" t="str">
        <f t="shared" si="74"/>
        <v/>
      </c>
      <c r="AP251" s="201">
        <v>7318</v>
      </c>
      <c r="AQ251" s="198" t="str">
        <f t="shared" si="75"/>
        <v/>
      </c>
    </row>
    <row r="252" spans="1:43">
      <c r="A252" s="200"/>
      <c r="D252" s="201"/>
      <c r="E252" s="198" t="str">
        <f t="shared" si="57"/>
        <v/>
      </c>
      <c r="F252" s="201"/>
      <c r="G252" s="198" t="str">
        <f t="shared" si="57"/>
        <v/>
      </c>
      <c r="H252" s="201"/>
      <c r="I252" s="198" t="str">
        <f t="shared" si="58"/>
        <v/>
      </c>
      <c r="J252" s="201">
        <v>5718</v>
      </c>
      <c r="K252" s="198" t="str">
        <f t="shared" si="59"/>
        <v/>
      </c>
      <c r="L252" s="201"/>
      <c r="M252" s="198" t="str">
        <f t="shared" si="60"/>
        <v/>
      </c>
      <c r="N252" s="201"/>
      <c r="O252" s="198" t="str">
        <f t="shared" si="61"/>
        <v/>
      </c>
      <c r="P252" s="201"/>
      <c r="Q252" s="198" t="str">
        <f t="shared" si="62"/>
        <v/>
      </c>
      <c r="R252" s="201"/>
      <c r="S252" s="198" t="str">
        <f t="shared" si="63"/>
        <v/>
      </c>
      <c r="T252" s="201"/>
      <c r="U252" s="198" t="str">
        <f t="shared" si="64"/>
        <v/>
      </c>
      <c r="V252" s="201"/>
      <c r="W252" s="198" t="str">
        <f t="shared" si="65"/>
        <v/>
      </c>
      <c r="X252" s="201"/>
      <c r="Y252" s="198" t="str">
        <f t="shared" si="66"/>
        <v/>
      </c>
      <c r="Z252" s="201"/>
      <c r="AA252" s="198" t="str">
        <f t="shared" si="67"/>
        <v/>
      </c>
      <c r="AB252" s="201"/>
      <c r="AC252" s="198" t="str">
        <f t="shared" si="68"/>
        <v/>
      </c>
      <c r="AD252" s="201"/>
      <c r="AE252" s="198" t="str">
        <f t="shared" si="69"/>
        <v/>
      </c>
      <c r="AF252" s="201"/>
      <c r="AG252" s="198" t="str">
        <f t="shared" si="70"/>
        <v/>
      </c>
      <c r="AH252" s="201"/>
      <c r="AI252" s="198" t="str">
        <f t="shared" si="71"/>
        <v/>
      </c>
      <c r="AJ252" s="201"/>
      <c r="AK252" s="198" t="str">
        <f t="shared" si="72"/>
        <v/>
      </c>
      <c r="AL252" s="201"/>
      <c r="AM252" s="198" t="str">
        <f t="shared" si="73"/>
        <v/>
      </c>
      <c r="AN252" s="201"/>
      <c r="AO252" s="198" t="str">
        <f t="shared" si="74"/>
        <v/>
      </c>
      <c r="AP252" s="201">
        <v>5718</v>
      </c>
      <c r="AQ252" s="198" t="str">
        <f t="shared" si="75"/>
        <v/>
      </c>
    </row>
    <row r="253" spans="1:43">
      <c r="A253" s="190" t="s">
        <v>293</v>
      </c>
      <c r="B253" s="196">
        <v>28.2</v>
      </c>
      <c r="D253" s="197">
        <v>234756</v>
      </c>
      <c r="E253" s="198">
        <f t="shared" si="57"/>
        <v>8324.6808510638293</v>
      </c>
      <c r="F253" s="197"/>
      <c r="G253" s="198" t="str">
        <f t="shared" si="57"/>
        <v/>
      </c>
      <c r="H253" s="197"/>
      <c r="I253" s="198" t="str">
        <f t="shared" si="58"/>
        <v/>
      </c>
      <c r="J253" s="197"/>
      <c r="K253" s="198" t="str">
        <f t="shared" si="59"/>
        <v/>
      </c>
      <c r="L253" s="197"/>
      <c r="M253" s="198" t="str">
        <f t="shared" si="60"/>
        <v/>
      </c>
      <c r="N253" s="197">
        <v>11431</v>
      </c>
      <c r="O253" s="198">
        <f t="shared" si="61"/>
        <v>405.35460992907804</v>
      </c>
      <c r="P253" s="197">
        <v>8293</v>
      </c>
      <c r="Q253" s="198">
        <f t="shared" si="62"/>
        <v>294.07801418439715</v>
      </c>
      <c r="R253" s="197"/>
      <c r="S253" s="198" t="str">
        <f t="shared" si="63"/>
        <v/>
      </c>
      <c r="T253" s="197"/>
      <c r="U253" s="198" t="str">
        <f t="shared" si="64"/>
        <v/>
      </c>
      <c r="V253" s="197">
        <v>31728</v>
      </c>
      <c r="W253" s="198">
        <f t="shared" si="65"/>
        <v>1125.1063829787233</v>
      </c>
      <c r="X253" s="197"/>
      <c r="Y253" s="198" t="str">
        <f t="shared" si="66"/>
        <v/>
      </c>
      <c r="Z253" s="197"/>
      <c r="AA253" s="198" t="str">
        <f t="shared" si="67"/>
        <v/>
      </c>
      <c r="AB253" s="197"/>
      <c r="AC253" s="198" t="str">
        <f t="shared" si="68"/>
        <v/>
      </c>
      <c r="AD253" s="197"/>
      <c r="AE253" s="198" t="str">
        <f t="shared" si="69"/>
        <v/>
      </c>
      <c r="AF253" s="197">
        <v>271886</v>
      </c>
      <c r="AG253" s="198">
        <f t="shared" si="70"/>
        <v>9641.3475177304972</v>
      </c>
      <c r="AH253" s="197"/>
      <c r="AI253" s="198" t="str">
        <f t="shared" si="71"/>
        <v/>
      </c>
      <c r="AJ253" s="197">
        <v>37017</v>
      </c>
      <c r="AK253" s="198">
        <f t="shared" si="72"/>
        <v>1312.6595744680851</v>
      </c>
      <c r="AL253" s="197"/>
      <c r="AM253" s="198" t="str">
        <f t="shared" si="73"/>
        <v/>
      </c>
      <c r="AN253" s="197">
        <v>3626</v>
      </c>
      <c r="AO253" s="198">
        <f t="shared" si="74"/>
        <v>128.58156028368793</v>
      </c>
      <c r="AP253" s="197">
        <v>363981</v>
      </c>
      <c r="AQ253" s="198">
        <f t="shared" si="75"/>
        <v>12907.127659574468</v>
      </c>
    </row>
    <row r="254" spans="1:43">
      <c r="A254" s="200"/>
      <c r="B254">
        <v>0.3</v>
      </c>
      <c r="D254" s="201"/>
      <c r="E254" s="198" t="str">
        <f t="shared" si="57"/>
        <v/>
      </c>
      <c r="F254" s="201"/>
      <c r="G254" s="198" t="str">
        <f t="shared" si="57"/>
        <v/>
      </c>
      <c r="H254" s="201"/>
      <c r="I254" s="198" t="str">
        <f t="shared" si="58"/>
        <v/>
      </c>
      <c r="J254" s="201"/>
      <c r="K254" s="198" t="str">
        <f t="shared" si="59"/>
        <v/>
      </c>
      <c r="L254" s="201"/>
      <c r="M254" s="198" t="str">
        <f t="shared" si="60"/>
        <v/>
      </c>
      <c r="N254" s="201"/>
      <c r="O254" s="198" t="str">
        <f t="shared" si="61"/>
        <v/>
      </c>
      <c r="P254" s="201">
        <v>1629</v>
      </c>
      <c r="Q254" s="198">
        <f t="shared" si="62"/>
        <v>5430</v>
      </c>
      <c r="R254" s="201"/>
      <c r="S254" s="198" t="str">
        <f t="shared" si="63"/>
        <v/>
      </c>
      <c r="T254" s="201"/>
      <c r="U254" s="198" t="str">
        <f t="shared" si="64"/>
        <v/>
      </c>
      <c r="V254" s="201"/>
      <c r="W254" s="198" t="str">
        <f t="shared" si="65"/>
        <v/>
      </c>
      <c r="X254" s="201"/>
      <c r="Y254" s="198" t="str">
        <f t="shared" si="66"/>
        <v/>
      </c>
      <c r="Z254" s="201"/>
      <c r="AA254" s="198" t="str">
        <f t="shared" si="67"/>
        <v/>
      </c>
      <c r="AB254" s="201"/>
      <c r="AC254" s="198" t="str">
        <f t="shared" si="68"/>
        <v/>
      </c>
      <c r="AD254" s="201"/>
      <c r="AE254" s="198" t="str">
        <f t="shared" si="69"/>
        <v/>
      </c>
      <c r="AF254" s="201">
        <v>1449</v>
      </c>
      <c r="AG254" s="198">
        <f t="shared" si="70"/>
        <v>4830</v>
      </c>
      <c r="AH254" s="201"/>
      <c r="AI254" s="198" t="str">
        <f t="shared" si="71"/>
        <v/>
      </c>
      <c r="AJ254" s="201"/>
      <c r="AK254" s="198" t="str">
        <f t="shared" si="72"/>
        <v/>
      </c>
      <c r="AL254" s="201"/>
      <c r="AM254" s="198" t="str">
        <f t="shared" si="73"/>
        <v/>
      </c>
      <c r="AN254" s="201"/>
      <c r="AO254" s="198" t="str">
        <f t="shared" si="74"/>
        <v/>
      </c>
      <c r="AP254" s="201">
        <v>3078</v>
      </c>
      <c r="AQ254" s="198">
        <f t="shared" si="75"/>
        <v>10260</v>
      </c>
    </row>
    <row r="255" spans="1:43">
      <c r="A255" s="190" t="s">
        <v>294</v>
      </c>
      <c r="B255" s="196">
        <v>2.7044000000000001</v>
      </c>
      <c r="D255" s="197">
        <v>21050</v>
      </c>
      <c r="E255" s="198">
        <f t="shared" si="57"/>
        <v>7783.6118917319918</v>
      </c>
      <c r="F255" s="197"/>
      <c r="G255" s="198" t="str">
        <f t="shared" si="57"/>
        <v/>
      </c>
      <c r="H255" s="197"/>
      <c r="I255" s="198" t="str">
        <f t="shared" si="58"/>
        <v/>
      </c>
      <c r="J255" s="197"/>
      <c r="K255" s="198" t="str">
        <f t="shared" si="59"/>
        <v/>
      </c>
      <c r="L255" s="197"/>
      <c r="M255" s="198" t="str">
        <f t="shared" si="60"/>
        <v/>
      </c>
      <c r="N255" s="197">
        <v>2878</v>
      </c>
      <c r="O255" s="198">
        <f t="shared" si="61"/>
        <v>1064.1916876201744</v>
      </c>
      <c r="P255" s="197">
        <v>577</v>
      </c>
      <c r="Q255" s="198">
        <f t="shared" si="62"/>
        <v>213.35601242419759</v>
      </c>
      <c r="R255" s="197">
        <v>80</v>
      </c>
      <c r="S255" s="198">
        <f t="shared" si="63"/>
        <v>29.581422866439873</v>
      </c>
      <c r="T255" s="197"/>
      <c r="U255" s="198" t="str">
        <f t="shared" si="64"/>
        <v/>
      </c>
      <c r="V255" s="197">
        <v>1912</v>
      </c>
      <c r="W255" s="198">
        <f t="shared" si="65"/>
        <v>706.99600650791297</v>
      </c>
      <c r="X255" s="197"/>
      <c r="Y255" s="198" t="str">
        <f t="shared" si="66"/>
        <v/>
      </c>
      <c r="Z255" s="197"/>
      <c r="AA255" s="198" t="str">
        <f t="shared" si="67"/>
        <v/>
      </c>
      <c r="AB255" s="197"/>
      <c r="AC255" s="198" t="str">
        <f t="shared" si="68"/>
        <v/>
      </c>
      <c r="AD255" s="197"/>
      <c r="AE255" s="198" t="str">
        <f t="shared" si="69"/>
        <v/>
      </c>
      <c r="AF255" s="197"/>
      <c r="AG255" s="198" t="str">
        <f t="shared" si="70"/>
        <v/>
      </c>
      <c r="AH255" s="197"/>
      <c r="AI255" s="198" t="str">
        <f t="shared" si="71"/>
        <v/>
      </c>
      <c r="AJ255" s="197">
        <v>2455</v>
      </c>
      <c r="AK255" s="198">
        <f t="shared" si="72"/>
        <v>907.77991421387367</v>
      </c>
      <c r="AL255" s="197"/>
      <c r="AM255" s="198" t="str">
        <f t="shared" si="73"/>
        <v/>
      </c>
      <c r="AN255" s="197">
        <v>3774</v>
      </c>
      <c r="AO255" s="198">
        <f t="shared" si="74"/>
        <v>1395.5036237243012</v>
      </c>
      <c r="AP255" s="197">
        <v>11676</v>
      </c>
      <c r="AQ255" s="198">
        <f t="shared" si="75"/>
        <v>4317.4086673569</v>
      </c>
    </row>
    <row r="256" spans="1:43">
      <c r="A256" s="200"/>
      <c r="D256" s="201"/>
      <c r="E256" s="198" t="str">
        <f t="shared" si="57"/>
        <v/>
      </c>
      <c r="F256" s="201"/>
      <c r="G256" s="198" t="str">
        <f t="shared" si="57"/>
        <v/>
      </c>
      <c r="H256" s="201"/>
      <c r="I256" s="198" t="str">
        <f t="shared" si="58"/>
        <v/>
      </c>
      <c r="J256" s="201"/>
      <c r="K256" s="198" t="str">
        <f t="shared" si="59"/>
        <v/>
      </c>
      <c r="L256" s="201"/>
      <c r="M256" s="198" t="str">
        <f t="shared" si="60"/>
        <v/>
      </c>
      <c r="N256" s="201"/>
      <c r="O256" s="198" t="str">
        <f t="shared" si="61"/>
        <v/>
      </c>
      <c r="P256" s="201"/>
      <c r="Q256" s="198" t="str">
        <f t="shared" si="62"/>
        <v/>
      </c>
      <c r="R256" s="201"/>
      <c r="S256" s="198" t="str">
        <f t="shared" si="63"/>
        <v/>
      </c>
      <c r="T256" s="201"/>
      <c r="U256" s="198" t="str">
        <f t="shared" si="64"/>
        <v/>
      </c>
      <c r="V256" s="201"/>
      <c r="W256" s="198" t="str">
        <f t="shared" si="65"/>
        <v/>
      </c>
      <c r="X256" s="201"/>
      <c r="Y256" s="198" t="str">
        <f t="shared" si="66"/>
        <v/>
      </c>
      <c r="Z256" s="201"/>
      <c r="AA256" s="198" t="str">
        <f t="shared" si="67"/>
        <v/>
      </c>
      <c r="AB256" s="201"/>
      <c r="AC256" s="198" t="str">
        <f t="shared" si="68"/>
        <v/>
      </c>
      <c r="AD256" s="201"/>
      <c r="AE256" s="198" t="str">
        <f t="shared" si="69"/>
        <v/>
      </c>
      <c r="AF256" s="201"/>
      <c r="AG256" s="198" t="str">
        <f t="shared" si="70"/>
        <v/>
      </c>
      <c r="AH256" s="201"/>
      <c r="AI256" s="198" t="str">
        <f t="shared" si="71"/>
        <v/>
      </c>
      <c r="AJ256" s="201"/>
      <c r="AK256" s="198" t="str">
        <f t="shared" si="72"/>
        <v/>
      </c>
      <c r="AL256" s="201"/>
      <c r="AM256" s="198" t="str">
        <f t="shared" si="73"/>
        <v/>
      </c>
      <c r="AN256" s="201"/>
      <c r="AO256" s="198" t="str">
        <f t="shared" si="74"/>
        <v/>
      </c>
      <c r="AP256" s="201"/>
      <c r="AQ256" s="198" t="str">
        <f t="shared" si="75"/>
        <v/>
      </c>
    </row>
    <row r="257" spans="1:43">
      <c r="A257" s="200"/>
      <c r="D257" s="201"/>
      <c r="E257" s="198" t="str">
        <f t="shared" si="57"/>
        <v/>
      </c>
      <c r="F257" s="201"/>
      <c r="G257" s="198" t="str">
        <f t="shared" si="57"/>
        <v/>
      </c>
      <c r="H257" s="201"/>
      <c r="I257" s="198" t="str">
        <f t="shared" si="58"/>
        <v/>
      </c>
      <c r="J257" s="201"/>
      <c r="K257" s="198" t="str">
        <f t="shared" si="59"/>
        <v/>
      </c>
      <c r="L257" s="201"/>
      <c r="M257" s="198" t="str">
        <f t="shared" si="60"/>
        <v/>
      </c>
      <c r="N257" s="201"/>
      <c r="O257" s="198" t="str">
        <f t="shared" si="61"/>
        <v/>
      </c>
      <c r="P257" s="201"/>
      <c r="Q257" s="198" t="str">
        <f t="shared" si="62"/>
        <v/>
      </c>
      <c r="R257" s="201"/>
      <c r="S257" s="198" t="str">
        <f t="shared" si="63"/>
        <v/>
      </c>
      <c r="T257" s="201"/>
      <c r="U257" s="198" t="str">
        <f t="shared" si="64"/>
        <v/>
      </c>
      <c r="V257" s="201"/>
      <c r="W257" s="198" t="str">
        <f t="shared" si="65"/>
        <v/>
      </c>
      <c r="X257" s="201"/>
      <c r="Y257" s="198" t="str">
        <f t="shared" si="66"/>
        <v/>
      </c>
      <c r="Z257" s="201"/>
      <c r="AA257" s="198" t="str">
        <f t="shared" si="67"/>
        <v/>
      </c>
      <c r="AB257" s="201"/>
      <c r="AC257" s="198" t="str">
        <f t="shared" si="68"/>
        <v/>
      </c>
      <c r="AD257" s="201">
        <v>3101</v>
      </c>
      <c r="AE257" s="198" t="str">
        <f t="shared" si="69"/>
        <v/>
      </c>
      <c r="AF257" s="201"/>
      <c r="AG257" s="198" t="str">
        <f t="shared" si="70"/>
        <v/>
      </c>
      <c r="AH257" s="201"/>
      <c r="AI257" s="198" t="str">
        <f t="shared" si="71"/>
        <v/>
      </c>
      <c r="AJ257" s="201"/>
      <c r="AK257" s="198" t="str">
        <f t="shared" si="72"/>
        <v/>
      </c>
      <c r="AL257" s="201"/>
      <c r="AM257" s="198" t="str">
        <f t="shared" si="73"/>
        <v/>
      </c>
      <c r="AN257" s="201"/>
      <c r="AO257" s="198" t="str">
        <f t="shared" si="74"/>
        <v/>
      </c>
      <c r="AP257" s="201">
        <v>3101</v>
      </c>
      <c r="AQ257" s="198" t="str">
        <f t="shared" si="75"/>
        <v/>
      </c>
    </row>
    <row r="258" spans="1:43">
      <c r="A258" s="200"/>
      <c r="D258" s="201"/>
      <c r="E258" s="198" t="str">
        <f t="shared" si="57"/>
        <v/>
      </c>
      <c r="F258" s="201"/>
      <c r="G258" s="198" t="str">
        <f t="shared" si="57"/>
        <v/>
      </c>
      <c r="H258" s="201"/>
      <c r="I258" s="198" t="str">
        <f t="shared" si="58"/>
        <v/>
      </c>
      <c r="J258" s="201"/>
      <c r="K258" s="198" t="str">
        <f t="shared" si="59"/>
        <v/>
      </c>
      <c r="L258" s="201"/>
      <c r="M258" s="198" t="str">
        <f t="shared" si="60"/>
        <v/>
      </c>
      <c r="N258" s="201"/>
      <c r="O258" s="198" t="str">
        <f t="shared" si="61"/>
        <v/>
      </c>
      <c r="P258" s="201"/>
      <c r="Q258" s="198" t="str">
        <f t="shared" si="62"/>
        <v/>
      </c>
      <c r="R258" s="201"/>
      <c r="S258" s="198" t="str">
        <f t="shared" si="63"/>
        <v/>
      </c>
      <c r="T258" s="201"/>
      <c r="U258" s="198" t="str">
        <f t="shared" si="64"/>
        <v/>
      </c>
      <c r="V258" s="201"/>
      <c r="W258" s="198" t="str">
        <f t="shared" si="65"/>
        <v/>
      </c>
      <c r="X258" s="201"/>
      <c r="Y258" s="198" t="str">
        <f t="shared" si="66"/>
        <v/>
      </c>
      <c r="Z258" s="201"/>
      <c r="AA258" s="198" t="str">
        <f t="shared" si="67"/>
        <v/>
      </c>
      <c r="AB258" s="201"/>
      <c r="AC258" s="198" t="str">
        <f t="shared" si="68"/>
        <v/>
      </c>
      <c r="AD258" s="201"/>
      <c r="AE258" s="198" t="str">
        <f t="shared" si="69"/>
        <v/>
      </c>
      <c r="AF258" s="201"/>
      <c r="AG258" s="198" t="str">
        <f t="shared" si="70"/>
        <v/>
      </c>
      <c r="AH258" s="201"/>
      <c r="AI258" s="198" t="str">
        <f t="shared" si="71"/>
        <v/>
      </c>
      <c r="AJ258" s="201"/>
      <c r="AK258" s="198" t="str">
        <f t="shared" si="72"/>
        <v/>
      </c>
      <c r="AL258" s="201"/>
      <c r="AM258" s="198" t="str">
        <f t="shared" si="73"/>
        <v/>
      </c>
      <c r="AN258" s="201"/>
      <c r="AO258" s="198" t="str">
        <f t="shared" si="74"/>
        <v/>
      </c>
      <c r="AP258" s="201"/>
      <c r="AQ258" s="198" t="str">
        <f t="shared" si="75"/>
        <v/>
      </c>
    </row>
    <row r="259" spans="1:43">
      <c r="A259" s="200"/>
      <c r="D259" s="201"/>
      <c r="E259" s="198" t="str">
        <f t="shared" si="57"/>
        <v/>
      </c>
      <c r="F259" s="201"/>
      <c r="G259" s="198" t="str">
        <f t="shared" si="57"/>
        <v/>
      </c>
      <c r="H259" s="201"/>
      <c r="I259" s="198" t="str">
        <f t="shared" si="58"/>
        <v/>
      </c>
      <c r="J259" s="201"/>
      <c r="K259" s="198" t="str">
        <f t="shared" si="59"/>
        <v/>
      </c>
      <c r="L259" s="201"/>
      <c r="M259" s="198" t="str">
        <f t="shared" si="60"/>
        <v/>
      </c>
      <c r="N259" s="201"/>
      <c r="O259" s="198" t="str">
        <f t="shared" si="61"/>
        <v/>
      </c>
      <c r="P259" s="201"/>
      <c r="Q259" s="198" t="str">
        <f t="shared" si="62"/>
        <v/>
      </c>
      <c r="R259" s="201"/>
      <c r="S259" s="198" t="str">
        <f t="shared" si="63"/>
        <v/>
      </c>
      <c r="T259" s="201"/>
      <c r="U259" s="198" t="str">
        <f t="shared" si="64"/>
        <v/>
      </c>
      <c r="V259" s="201"/>
      <c r="W259" s="198" t="str">
        <f t="shared" si="65"/>
        <v/>
      </c>
      <c r="X259" s="201"/>
      <c r="Y259" s="198" t="str">
        <f t="shared" si="66"/>
        <v/>
      </c>
      <c r="Z259" s="201"/>
      <c r="AA259" s="198" t="str">
        <f t="shared" si="67"/>
        <v/>
      </c>
      <c r="AB259" s="201"/>
      <c r="AC259" s="198" t="str">
        <f t="shared" si="68"/>
        <v/>
      </c>
      <c r="AD259" s="201">
        <v>6635</v>
      </c>
      <c r="AE259" s="198" t="str">
        <f t="shared" si="69"/>
        <v/>
      </c>
      <c r="AF259" s="201"/>
      <c r="AG259" s="198" t="str">
        <f t="shared" si="70"/>
        <v/>
      </c>
      <c r="AH259" s="201"/>
      <c r="AI259" s="198" t="str">
        <f t="shared" si="71"/>
        <v/>
      </c>
      <c r="AJ259" s="201"/>
      <c r="AK259" s="198" t="str">
        <f t="shared" si="72"/>
        <v/>
      </c>
      <c r="AL259" s="201"/>
      <c r="AM259" s="198" t="str">
        <f t="shared" si="73"/>
        <v/>
      </c>
      <c r="AN259" s="201"/>
      <c r="AO259" s="198" t="str">
        <f t="shared" si="74"/>
        <v/>
      </c>
      <c r="AP259" s="201">
        <v>6635</v>
      </c>
      <c r="AQ259" s="198" t="str">
        <f t="shared" si="75"/>
        <v/>
      </c>
    </row>
    <row r="260" spans="1:43">
      <c r="A260" s="200"/>
      <c r="D260" s="201"/>
      <c r="E260" s="198" t="str">
        <f t="shared" si="57"/>
        <v/>
      </c>
      <c r="F260" s="201"/>
      <c r="G260" s="198" t="str">
        <f t="shared" si="57"/>
        <v/>
      </c>
      <c r="H260" s="201"/>
      <c r="I260" s="198" t="str">
        <f t="shared" si="58"/>
        <v/>
      </c>
      <c r="J260" s="201"/>
      <c r="K260" s="198" t="str">
        <f t="shared" si="59"/>
        <v/>
      </c>
      <c r="L260" s="201"/>
      <c r="M260" s="198" t="str">
        <f t="shared" si="60"/>
        <v/>
      </c>
      <c r="N260" s="201"/>
      <c r="O260" s="198" t="str">
        <f t="shared" si="61"/>
        <v/>
      </c>
      <c r="P260" s="201"/>
      <c r="Q260" s="198" t="str">
        <f t="shared" si="62"/>
        <v/>
      </c>
      <c r="R260" s="201"/>
      <c r="S260" s="198" t="str">
        <f t="shared" si="63"/>
        <v/>
      </c>
      <c r="T260" s="201"/>
      <c r="U260" s="198" t="str">
        <f t="shared" si="64"/>
        <v/>
      </c>
      <c r="V260" s="201">
        <v>-249</v>
      </c>
      <c r="W260" s="198" t="str">
        <f t="shared" si="65"/>
        <v/>
      </c>
      <c r="X260" s="201"/>
      <c r="Y260" s="198" t="str">
        <f t="shared" si="66"/>
        <v/>
      </c>
      <c r="Z260" s="201"/>
      <c r="AA260" s="198" t="str">
        <f t="shared" si="67"/>
        <v/>
      </c>
      <c r="AB260" s="201"/>
      <c r="AC260" s="198" t="str">
        <f t="shared" si="68"/>
        <v/>
      </c>
      <c r="AD260" s="201"/>
      <c r="AE260" s="198" t="str">
        <f t="shared" si="69"/>
        <v/>
      </c>
      <c r="AF260" s="201"/>
      <c r="AG260" s="198" t="str">
        <f t="shared" si="70"/>
        <v/>
      </c>
      <c r="AH260" s="201"/>
      <c r="AI260" s="198" t="str">
        <f t="shared" si="71"/>
        <v/>
      </c>
      <c r="AJ260" s="201"/>
      <c r="AK260" s="198" t="str">
        <f t="shared" si="72"/>
        <v/>
      </c>
      <c r="AL260" s="201"/>
      <c r="AM260" s="198" t="str">
        <f t="shared" si="73"/>
        <v/>
      </c>
      <c r="AN260" s="201"/>
      <c r="AO260" s="198" t="str">
        <f t="shared" si="74"/>
        <v/>
      </c>
      <c r="AP260" s="201">
        <v>-249</v>
      </c>
      <c r="AQ260" s="198" t="str">
        <f t="shared" si="75"/>
        <v/>
      </c>
    </row>
    <row r="261" spans="1:43">
      <c r="A261" s="200"/>
      <c r="B261">
        <v>2.0400000000000001E-3</v>
      </c>
      <c r="D261" s="201"/>
      <c r="E261" s="198" t="str">
        <f t="shared" si="57"/>
        <v/>
      </c>
      <c r="F261" s="201"/>
      <c r="G261" s="198" t="str">
        <f t="shared" si="57"/>
        <v/>
      </c>
      <c r="H261" s="201"/>
      <c r="I261" s="198" t="str">
        <f t="shared" si="58"/>
        <v/>
      </c>
      <c r="J261" s="201"/>
      <c r="K261" s="198" t="str">
        <f t="shared" si="59"/>
        <v/>
      </c>
      <c r="L261" s="201"/>
      <c r="M261" s="198" t="str">
        <f t="shared" si="60"/>
        <v/>
      </c>
      <c r="N261" s="201"/>
      <c r="O261" s="198" t="str">
        <f t="shared" si="61"/>
        <v/>
      </c>
      <c r="P261" s="201"/>
      <c r="Q261" s="198" t="str">
        <f t="shared" si="62"/>
        <v/>
      </c>
      <c r="R261" s="201"/>
      <c r="S261" s="198" t="str">
        <f t="shared" si="63"/>
        <v/>
      </c>
      <c r="T261" s="201"/>
      <c r="U261" s="198" t="str">
        <f t="shared" si="64"/>
        <v/>
      </c>
      <c r="V261" s="201"/>
      <c r="W261" s="198" t="str">
        <f t="shared" si="65"/>
        <v/>
      </c>
      <c r="X261" s="201"/>
      <c r="Y261" s="198" t="str">
        <f t="shared" si="66"/>
        <v/>
      </c>
      <c r="Z261" s="201"/>
      <c r="AA261" s="198" t="str">
        <f t="shared" si="67"/>
        <v/>
      </c>
      <c r="AB261" s="201"/>
      <c r="AC261" s="198" t="str">
        <f t="shared" si="68"/>
        <v/>
      </c>
      <c r="AD261" s="201"/>
      <c r="AE261" s="198" t="str">
        <f t="shared" si="69"/>
        <v/>
      </c>
      <c r="AF261" s="201"/>
      <c r="AG261" s="198" t="str">
        <f t="shared" si="70"/>
        <v/>
      </c>
      <c r="AH261" s="201"/>
      <c r="AI261" s="198" t="str">
        <f t="shared" si="71"/>
        <v/>
      </c>
      <c r="AJ261" s="201">
        <v>6</v>
      </c>
      <c r="AK261" s="198">
        <f t="shared" si="72"/>
        <v>2941.1764705882351</v>
      </c>
      <c r="AL261" s="201"/>
      <c r="AM261" s="198" t="str">
        <f t="shared" si="73"/>
        <v/>
      </c>
      <c r="AN261" s="201">
        <v>2</v>
      </c>
      <c r="AO261" s="198">
        <f t="shared" si="74"/>
        <v>980.39215686274508</v>
      </c>
      <c r="AP261" s="201">
        <v>8</v>
      </c>
      <c r="AQ261" s="198">
        <f t="shared" si="75"/>
        <v>3921.5686274509803</v>
      </c>
    </row>
    <row r="262" spans="1:43">
      <c r="A262" s="200"/>
      <c r="D262" s="201"/>
      <c r="E262" s="198" t="str">
        <f t="shared" si="57"/>
        <v/>
      </c>
      <c r="F262" s="201"/>
      <c r="G262" s="198" t="str">
        <f t="shared" si="57"/>
        <v/>
      </c>
      <c r="H262" s="201"/>
      <c r="I262" s="198" t="str">
        <f t="shared" si="58"/>
        <v/>
      </c>
      <c r="J262" s="201"/>
      <c r="K262" s="198" t="str">
        <f t="shared" si="59"/>
        <v/>
      </c>
      <c r="L262" s="201"/>
      <c r="M262" s="198" t="str">
        <f t="shared" si="60"/>
        <v/>
      </c>
      <c r="N262" s="201"/>
      <c r="O262" s="198" t="str">
        <f t="shared" si="61"/>
        <v/>
      </c>
      <c r="P262" s="201"/>
      <c r="Q262" s="198" t="str">
        <f t="shared" si="62"/>
        <v/>
      </c>
      <c r="R262" s="201"/>
      <c r="S262" s="198" t="str">
        <f t="shared" si="63"/>
        <v/>
      </c>
      <c r="T262" s="201"/>
      <c r="U262" s="198" t="str">
        <f t="shared" si="64"/>
        <v/>
      </c>
      <c r="V262" s="201"/>
      <c r="W262" s="198" t="str">
        <f t="shared" si="65"/>
        <v/>
      </c>
      <c r="X262" s="201"/>
      <c r="Y262" s="198" t="str">
        <f t="shared" si="66"/>
        <v/>
      </c>
      <c r="Z262" s="201"/>
      <c r="AA262" s="198" t="str">
        <f t="shared" si="67"/>
        <v/>
      </c>
      <c r="AB262" s="201"/>
      <c r="AC262" s="198" t="str">
        <f t="shared" si="68"/>
        <v/>
      </c>
      <c r="AD262" s="201"/>
      <c r="AE262" s="198" t="str">
        <f t="shared" si="69"/>
        <v/>
      </c>
      <c r="AF262" s="201"/>
      <c r="AG262" s="198" t="str">
        <f t="shared" si="70"/>
        <v/>
      </c>
      <c r="AH262" s="201"/>
      <c r="AI262" s="198" t="str">
        <f t="shared" si="71"/>
        <v/>
      </c>
      <c r="AJ262" s="201"/>
      <c r="AK262" s="198" t="str">
        <f t="shared" si="72"/>
        <v/>
      </c>
      <c r="AL262" s="201"/>
      <c r="AM262" s="198" t="str">
        <f t="shared" si="73"/>
        <v/>
      </c>
      <c r="AN262" s="201"/>
      <c r="AO262" s="198" t="str">
        <f t="shared" si="74"/>
        <v/>
      </c>
      <c r="AP262" s="201"/>
      <c r="AQ262" s="198" t="str">
        <f t="shared" si="75"/>
        <v/>
      </c>
    </row>
    <row r="263" spans="1:43">
      <c r="A263" s="200"/>
      <c r="D263" s="201"/>
      <c r="E263" s="198" t="str">
        <f t="shared" si="57"/>
        <v/>
      </c>
      <c r="F263" s="201"/>
      <c r="G263" s="198" t="str">
        <f t="shared" si="57"/>
        <v/>
      </c>
      <c r="H263" s="201"/>
      <c r="I263" s="198" t="str">
        <f t="shared" si="58"/>
        <v/>
      </c>
      <c r="J263" s="201"/>
      <c r="K263" s="198" t="str">
        <f t="shared" si="59"/>
        <v/>
      </c>
      <c r="L263" s="201"/>
      <c r="M263" s="198" t="str">
        <f t="shared" si="60"/>
        <v/>
      </c>
      <c r="N263" s="201"/>
      <c r="O263" s="198" t="str">
        <f t="shared" si="61"/>
        <v/>
      </c>
      <c r="P263" s="201"/>
      <c r="Q263" s="198" t="str">
        <f t="shared" si="62"/>
        <v/>
      </c>
      <c r="R263" s="201"/>
      <c r="S263" s="198" t="str">
        <f t="shared" si="63"/>
        <v/>
      </c>
      <c r="T263" s="201"/>
      <c r="U263" s="198" t="str">
        <f t="shared" si="64"/>
        <v/>
      </c>
      <c r="V263" s="201"/>
      <c r="W263" s="198" t="str">
        <f t="shared" si="65"/>
        <v/>
      </c>
      <c r="X263" s="201"/>
      <c r="Y263" s="198" t="str">
        <f t="shared" si="66"/>
        <v/>
      </c>
      <c r="Z263" s="201"/>
      <c r="AA263" s="198" t="str">
        <f t="shared" si="67"/>
        <v/>
      </c>
      <c r="AB263" s="201"/>
      <c r="AC263" s="198" t="str">
        <f t="shared" si="68"/>
        <v/>
      </c>
      <c r="AD263" s="201">
        <v>737</v>
      </c>
      <c r="AE263" s="198" t="str">
        <f t="shared" si="69"/>
        <v/>
      </c>
      <c r="AF263" s="201"/>
      <c r="AG263" s="198" t="str">
        <f t="shared" si="70"/>
        <v/>
      </c>
      <c r="AH263" s="201"/>
      <c r="AI263" s="198" t="str">
        <f t="shared" si="71"/>
        <v/>
      </c>
      <c r="AJ263" s="201"/>
      <c r="AK263" s="198" t="str">
        <f t="shared" si="72"/>
        <v/>
      </c>
      <c r="AL263" s="201"/>
      <c r="AM263" s="198" t="str">
        <f t="shared" si="73"/>
        <v/>
      </c>
      <c r="AN263" s="201"/>
      <c r="AO263" s="198" t="str">
        <f t="shared" si="74"/>
        <v/>
      </c>
      <c r="AP263" s="201">
        <v>737</v>
      </c>
      <c r="AQ263" s="198" t="str">
        <f t="shared" si="75"/>
        <v/>
      </c>
    </row>
    <row r="264" spans="1:43">
      <c r="A264" s="200"/>
      <c r="D264" s="201"/>
      <c r="E264" s="198" t="str">
        <f t="shared" si="57"/>
        <v/>
      </c>
      <c r="F264" s="201"/>
      <c r="G264" s="198" t="str">
        <f t="shared" si="57"/>
        <v/>
      </c>
      <c r="H264" s="201"/>
      <c r="I264" s="198" t="str">
        <f t="shared" si="58"/>
        <v/>
      </c>
      <c r="J264" s="201"/>
      <c r="K264" s="198" t="str">
        <f t="shared" si="59"/>
        <v/>
      </c>
      <c r="L264" s="201"/>
      <c r="M264" s="198" t="str">
        <f t="shared" si="60"/>
        <v/>
      </c>
      <c r="N264" s="201"/>
      <c r="O264" s="198" t="str">
        <f t="shared" si="61"/>
        <v/>
      </c>
      <c r="P264" s="201"/>
      <c r="Q264" s="198" t="str">
        <f t="shared" si="62"/>
        <v/>
      </c>
      <c r="R264" s="201"/>
      <c r="S264" s="198" t="str">
        <f t="shared" si="63"/>
        <v/>
      </c>
      <c r="T264" s="201"/>
      <c r="U264" s="198" t="str">
        <f t="shared" si="64"/>
        <v/>
      </c>
      <c r="V264" s="201"/>
      <c r="W264" s="198" t="str">
        <f t="shared" si="65"/>
        <v/>
      </c>
      <c r="X264" s="201"/>
      <c r="Y264" s="198" t="str">
        <f t="shared" si="66"/>
        <v/>
      </c>
      <c r="Z264" s="201"/>
      <c r="AA264" s="198" t="str">
        <f t="shared" si="67"/>
        <v/>
      </c>
      <c r="AB264" s="201"/>
      <c r="AC264" s="198" t="str">
        <f t="shared" si="68"/>
        <v/>
      </c>
      <c r="AD264" s="201"/>
      <c r="AE264" s="198" t="str">
        <f t="shared" si="69"/>
        <v/>
      </c>
      <c r="AF264" s="201"/>
      <c r="AG264" s="198" t="str">
        <f t="shared" si="70"/>
        <v/>
      </c>
      <c r="AH264" s="201"/>
      <c r="AI264" s="198" t="str">
        <f t="shared" si="71"/>
        <v/>
      </c>
      <c r="AJ264" s="201"/>
      <c r="AK264" s="198" t="str">
        <f t="shared" si="72"/>
        <v/>
      </c>
      <c r="AL264" s="201"/>
      <c r="AM264" s="198" t="str">
        <f t="shared" si="73"/>
        <v/>
      </c>
      <c r="AN264" s="201"/>
      <c r="AO264" s="198" t="str">
        <f t="shared" si="74"/>
        <v/>
      </c>
      <c r="AP264" s="201"/>
      <c r="AQ264" s="198" t="str">
        <f t="shared" si="75"/>
        <v/>
      </c>
    </row>
    <row r="265" spans="1:43">
      <c r="A265" s="200"/>
      <c r="D265" s="201"/>
      <c r="E265" s="198" t="str">
        <f t="shared" si="57"/>
        <v/>
      </c>
      <c r="F265" s="201"/>
      <c r="G265" s="198" t="str">
        <f t="shared" si="57"/>
        <v/>
      </c>
      <c r="H265" s="201"/>
      <c r="I265" s="198" t="str">
        <f t="shared" si="58"/>
        <v/>
      </c>
      <c r="J265" s="201"/>
      <c r="K265" s="198" t="str">
        <f t="shared" si="59"/>
        <v/>
      </c>
      <c r="L265" s="201"/>
      <c r="M265" s="198" t="str">
        <f t="shared" si="60"/>
        <v/>
      </c>
      <c r="N265" s="201"/>
      <c r="O265" s="198" t="str">
        <f t="shared" si="61"/>
        <v/>
      </c>
      <c r="P265" s="201"/>
      <c r="Q265" s="198" t="str">
        <f t="shared" si="62"/>
        <v/>
      </c>
      <c r="R265" s="201"/>
      <c r="S265" s="198" t="str">
        <f t="shared" si="63"/>
        <v/>
      </c>
      <c r="T265" s="201"/>
      <c r="U265" s="198" t="str">
        <f t="shared" si="64"/>
        <v/>
      </c>
      <c r="V265" s="201"/>
      <c r="W265" s="198" t="str">
        <f t="shared" si="65"/>
        <v/>
      </c>
      <c r="X265" s="201"/>
      <c r="Y265" s="198" t="str">
        <f t="shared" si="66"/>
        <v/>
      </c>
      <c r="Z265" s="201"/>
      <c r="AA265" s="198" t="str">
        <f t="shared" si="67"/>
        <v/>
      </c>
      <c r="AB265" s="201"/>
      <c r="AC265" s="198" t="str">
        <f t="shared" si="68"/>
        <v/>
      </c>
      <c r="AD265" s="201"/>
      <c r="AE265" s="198" t="str">
        <f t="shared" si="69"/>
        <v/>
      </c>
      <c r="AF265" s="201"/>
      <c r="AG265" s="198" t="str">
        <f t="shared" si="70"/>
        <v/>
      </c>
      <c r="AH265" s="201"/>
      <c r="AI265" s="198" t="str">
        <f t="shared" si="71"/>
        <v/>
      </c>
      <c r="AJ265" s="201"/>
      <c r="AK265" s="198" t="str">
        <f t="shared" si="72"/>
        <v/>
      </c>
      <c r="AL265" s="201"/>
      <c r="AM265" s="198" t="str">
        <f t="shared" si="73"/>
        <v/>
      </c>
      <c r="AN265" s="201"/>
      <c r="AO265" s="198" t="str">
        <f t="shared" si="74"/>
        <v/>
      </c>
      <c r="AP265" s="201"/>
      <c r="AQ265" s="198" t="str">
        <f t="shared" si="75"/>
        <v/>
      </c>
    </row>
    <row r="266" spans="1:43">
      <c r="A266" s="190" t="s">
        <v>295</v>
      </c>
      <c r="B266" s="196">
        <v>0</v>
      </c>
      <c r="D266" s="197">
        <v>322</v>
      </c>
      <c r="E266" s="198" t="str">
        <f t="shared" si="57"/>
        <v/>
      </c>
      <c r="F266" s="197"/>
      <c r="G266" s="198" t="str">
        <f t="shared" si="57"/>
        <v/>
      </c>
      <c r="H266" s="197"/>
      <c r="I266" s="198" t="str">
        <f t="shared" si="58"/>
        <v/>
      </c>
      <c r="J266" s="197"/>
      <c r="K266" s="198" t="str">
        <f t="shared" si="59"/>
        <v/>
      </c>
      <c r="L266" s="197"/>
      <c r="M266" s="198" t="str">
        <f t="shared" si="60"/>
        <v/>
      </c>
      <c r="N266" s="197">
        <v>3</v>
      </c>
      <c r="O266" s="198" t="str">
        <f t="shared" si="61"/>
        <v/>
      </c>
      <c r="P266" s="197">
        <v>15</v>
      </c>
      <c r="Q266" s="198" t="str">
        <f t="shared" si="62"/>
        <v/>
      </c>
      <c r="R266" s="197">
        <v>10</v>
      </c>
      <c r="S266" s="198" t="str">
        <f t="shared" si="63"/>
        <v/>
      </c>
      <c r="T266" s="197">
        <v>21</v>
      </c>
      <c r="U266" s="198" t="str">
        <f t="shared" si="64"/>
        <v/>
      </c>
      <c r="V266" s="197"/>
      <c r="W266" s="198" t="str">
        <f t="shared" si="65"/>
        <v/>
      </c>
      <c r="X266" s="197"/>
      <c r="Y266" s="198" t="str">
        <f t="shared" si="66"/>
        <v/>
      </c>
      <c r="Z266" s="197"/>
      <c r="AA266" s="198" t="str">
        <f t="shared" si="67"/>
        <v/>
      </c>
      <c r="AB266" s="197">
        <v>5</v>
      </c>
      <c r="AC266" s="198" t="str">
        <f t="shared" si="68"/>
        <v/>
      </c>
      <c r="AD266" s="197"/>
      <c r="AE266" s="198" t="str">
        <f t="shared" si="69"/>
        <v/>
      </c>
      <c r="AF266" s="197"/>
      <c r="AG266" s="198" t="str">
        <f t="shared" si="70"/>
        <v/>
      </c>
      <c r="AH266" s="197"/>
      <c r="AI266" s="198" t="str">
        <f t="shared" si="71"/>
        <v/>
      </c>
      <c r="AJ266" s="197">
        <v>5</v>
      </c>
      <c r="AK266" s="198" t="str">
        <f t="shared" si="72"/>
        <v/>
      </c>
      <c r="AL266" s="197"/>
      <c r="AM266" s="198" t="str">
        <f t="shared" si="73"/>
        <v/>
      </c>
      <c r="AN266" s="197"/>
      <c r="AO266" s="198" t="str">
        <f t="shared" si="74"/>
        <v/>
      </c>
      <c r="AP266" s="197">
        <v>59</v>
      </c>
      <c r="AQ266" s="198" t="str">
        <f t="shared" si="75"/>
        <v/>
      </c>
    </row>
    <row r="267" spans="1:43">
      <c r="A267" s="190" t="s">
        <v>296</v>
      </c>
      <c r="B267" s="196">
        <v>0.77</v>
      </c>
      <c r="D267" s="197">
        <v>375</v>
      </c>
      <c r="E267" s="198">
        <f t="shared" si="57"/>
        <v>487.01298701298703</v>
      </c>
      <c r="F267" s="197"/>
      <c r="G267" s="198" t="str">
        <f t="shared" si="57"/>
        <v/>
      </c>
      <c r="H267" s="197"/>
      <c r="I267" s="198" t="str">
        <f t="shared" si="58"/>
        <v/>
      </c>
      <c r="J267" s="197"/>
      <c r="K267" s="198" t="str">
        <f t="shared" si="59"/>
        <v/>
      </c>
      <c r="L267" s="197"/>
      <c r="M267" s="198" t="str">
        <f t="shared" si="60"/>
        <v/>
      </c>
      <c r="N267" s="197">
        <v>269</v>
      </c>
      <c r="O267" s="198">
        <f t="shared" si="61"/>
        <v>349.35064935064935</v>
      </c>
      <c r="P267" s="197">
        <v>1649</v>
      </c>
      <c r="Q267" s="198">
        <f t="shared" si="62"/>
        <v>2141.5584415584417</v>
      </c>
      <c r="R267" s="197">
        <v>345</v>
      </c>
      <c r="S267" s="198">
        <f t="shared" si="63"/>
        <v>448.05194805194805</v>
      </c>
      <c r="T267" s="197"/>
      <c r="U267" s="198" t="str">
        <f t="shared" si="64"/>
        <v/>
      </c>
      <c r="V267" s="197"/>
      <c r="W267" s="198" t="str">
        <f t="shared" si="65"/>
        <v/>
      </c>
      <c r="X267" s="197"/>
      <c r="Y267" s="198" t="str">
        <f t="shared" si="66"/>
        <v/>
      </c>
      <c r="Z267" s="197"/>
      <c r="AA267" s="198" t="str">
        <f t="shared" si="67"/>
        <v/>
      </c>
      <c r="AB267" s="197"/>
      <c r="AC267" s="198" t="str">
        <f t="shared" si="68"/>
        <v/>
      </c>
      <c r="AD267" s="197"/>
      <c r="AE267" s="198" t="str">
        <f t="shared" si="69"/>
        <v/>
      </c>
      <c r="AF267" s="197"/>
      <c r="AG267" s="198" t="str">
        <f t="shared" si="70"/>
        <v/>
      </c>
      <c r="AH267" s="197"/>
      <c r="AI267" s="198" t="str">
        <f t="shared" si="71"/>
        <v/>
      </c>
      <c r="AJ267" s="197">
        <v>783</v>
      </c>
      <c r="AK267" s="198">
        <f t="shared" si="72"/>
        <v>1016.8831168831168</v>
      </c>
      <c r="AL267" s="197"/>
      <c r="AM267" s="198" t="str">
        <f t="shared" si="73"/>
        <v/>
      </c>
      <c r="AN267" s="197"/>
      <c r="AO267" s="198" t="str">
        <f t="shared" si="74"/>
        <v/>
      </c>
      <c r="AP267" s="197">
        <v>3046</v>
      </c>
      <c r="AQ267" s="198">
        <f t="shared" si="75"/>
        <v>3955.8441558441559</v>
      </c>
    </row>
    <row r="268" spans="1:43">
      <c r="A268" s="200"/>
      <c r="B268">
        <v>0.25</v>
      </c>
      <c r="D268" s="201">
        <v>181</v>
      </c>
      <c r="E268" s="198">
        <f t="shared" si="57"/>
        <v>724</v>
      </c>
      <c r="F268" s="201"/>
      <c r="G268" s="198" t="str">
        <f t="shared" si="57"/>
        <v/>
      </c>
      <c r="H268" s="201"/>
      <c r="I268" s="198" t="str">
        <f t="shared" si="58"/>
        <v/>
      </c>
      <c r="J268" s="201"/>
      <c r="K268" s="198" t="str">
        <f t="shared" si="59"/>
        <v/>
      </c>
      <c r="L268" s="201"/>
      <c r="M268" s="198" t="str">
        <f t="shared" si="60"/>
        <v/>
      </c>
      <c r="N268" s="201">
        <v>129</v>
      </c>
      <c r="O268" s="198">
        <f t="shared" si="61"/>
        <v>516</v>
      </c>
      <c r="P268" s="201">
        <v>794</v>
      </c>
      <c r="Q268" s="198">
        <f t="shared" si="62"/>
        <v>3176</v>
      </c>
      <c r="R268" s="201">
        <v>166</v>
      </c>
      <c r="S268" s="198">
        <f t="shared" si="63"/>
        <v>664</v>
      </c>
      <c r="T268" s="201"/>
      <c r="U268" s="198" t="str">
        <f t="shared" si="64"/>
        <v/>
      </c>
      <c r="V268" s="201"/>
      <c r="W268" s="198" t="str">
        <f t="shared" si="65"/>
        <v/>
      </c>
      <c r="X268" s="201"/>
      <c r="Y268" s="198" t="str">
        <f t="shared" si="66"/>
        <v/>
      </c>
      <c r="Z268" s="201"/>
      <c r="AA268" s="198" t="str">
        <f t="shared" si="67"/>
        <v/>
      </c>
      <c r="AB268" s="201"/>
      <c r="AC268" s="198" t="str">
        <f t="shared" si="68"/>
        <v/>
      </c>
      <c r="AD268" s="201"/>
      <c r="AE268" s="198" t="str">
        <f t="shared" si="69"/>
        <v/>
      </c>
      <c r="AF268" s="201"/>
      <c r="AG268" s="198" t="str">
        <f t="shared" si="70"/>
        <v/>
      </c>
      <c r="AH268" s="201"/>
      <c r="AI268" s="198" t="str">
        <f t="shared" si="71"/>
        <v/>
      </c>
      <c r="AJ268" s="201">
        <v>377</v>
      </c>
      <c r="AK268" s="198">
        <f t="shared" si="72"/>
        <v>1508</v>
      </c>
      <c r="AL268" s="201"/>
      <c r="AM268" s="198" t="str">
        <f t="shared" si="73"/>
        <v/>
      </c>
      <c r="AN268" s="201"/>
      <c r="AO268" s="198" t="str">
        <f t="shared" si="74"/>
        <v/>
      </c>
      <c r="AP268" s="201">
        <v>1466</v>
      </c>
      <c r="AQ268" s="198">
        <f t="shared" si="75"/>
        <v>5864</v>
      </c>
    </row>
    <row r="269" spans="1:43">
      <c r="A269" s="200"/>
      <c r="B269">
        <v>4.9400000000000004</v>
      </c>
      <c r="D269" s="201">
        <v>4410</v>
      </c>
      <c r="E269" s="198">
        <f t="shared" ref="E269:G300" si="76">IF(OR($B269=0,D269=0),"",D269/$B269)</f>
        <v>892.71255060728743</v>
      </c>
      <c r="F269" s="201"/>
      <c r="G269" s="198" t="str">
        <f t="shared" si="76"/>
        <v/>
      </c>
      <c r="H269" s="201"/>
      <c r="I269" s="198" t="str">
        <f t="shared" ref="I269:I300" si="77">IF(OR($B269=0,H269=0),"",H269/$B269)</f>
        <v/>
      </c>
      <c r="J269" s="201"/>
      <c r="K269" s="198" t="str">
        <f t="shared" ref="K269:K300" si="78">IF(OR($B269=0,J269=0),"",J269/$B269)</f>
        <v/>
      </c>
      <c r="L269" s="201"/>
      <c r="M269" s="198" t="str">
        <f t="shared" ref="M269:M300" si="79">IF(OR($B269=0,L269=0),"",L269/$B269)</f>
        <v/>
      </c>
      <c r="N269" s="201">
        <v>1733</v>
      </c>
      <c r="O269" s="198">
        <f t="shared" ref="O269:O300" si="80">IF(OR($B269=0,N269=0),"",N269/$B269)</f>
        <v>350.80971659919027</v>
      </c>
      <c r="P269" s="201">
        <v>10643</v>
      </c>
      <c r="Q269" s="198">
        <f t="shared" ref="Q269:Q300" si="81">IF(OR($B269=0,P269=0),"",P269/$B269)</f>
        <v>2154.4534412955463</v>
      </c>
      <c r="R269" s="201">
        <v>2227</v>
      </c>
      <c r="S269" s="198">
        <f t="shared" ref="S269:S300" si="82">IF(OR($B269=0,R269=0),"",R269/$B269)</f>
        <v>450.80971659919027</v>
      </c>
      <c r="T269" s="201"/>
      <c r="U269" s="198" t="str">
        <f t="shared" ref="U269:U300" si="83">IF(OR($B269=0,T269=0),"",T269/$B269)</f>
        <v/>
      </c>
      <c r="V269" s="201"/>
      <c r="W269" s="198" t="str">
        <f t="shared" ref="W269:W300" si="84">IF(OR($B269=0,V269=0),"",V269/$B269)</f>
        <v/>
      </c>
      <c r="X269" s="201"/>
      <c r="Y269" s="198" t="str">
        <f t="shared" ref="Y269:Y300" si="85">IF(OR($B269=0,X269=0),"",X269/$B269)</f>
        <v/>
      </c>
      <c r="Z269" s="201"/>
      <c r="AA269" s="198" t="str">
        <f t="shared" ref="AA269:AA300" si="86">IF(OR($B269=0,Z269=0),"",Z269/$B269)</f>
        <v/>
      </c>
      <c r="AB269" s="201"/>
      <c r="AC269" s="198" t="str">
        <f t="shared" ref="AC269:AC300" si="87">IF(OR($B269=0,AB269=0),"",AB269/$B269)</f>
        <v/>
      </c>
      <c r="AD269" s="201"/>
      <c r="AE269" s="198" t="str">
        <f t="shared" ref="AE269:AE300" si="88">IF(OR($B269=0,AD269=0),"",AD269/$B269)</f>
        <v/>
      </c>
      <c r="AF269" s="201"/>
      <c r="AG269" s="198" t="str">
        <f t="shared" ref="AG269:AG300" si="89">IF(OR($B269=0,AF269=0),"",AF269/$B269)</f>
        <v/>
      </c>
      <c r="AH269" s="201"/>
      <c r="AI269" s="198" t="str">
        <f t="shared" ref="AI269:AI300" si="90">IF(OR($B269=0,AH269=0),"",AH269/$B269)</f>
        <v/>
      </c>
      <c r="AJ269" s="201">
        <v>5052</v>
      </c>
      <c r="AK269" s="198">
        <f t="shared" ref="AK269:AK300" si="91">IF(OR($B269=0,AJ269=0),"",AJ269/$B269)</f>
        <v>1022.6720647773278</v>
      </c>
      <c r="AL269" s="201"/>
      <c r="AM269" s="198" t="str">
        <f t="shared" ref="AM269:AM300" si="92">IF(OR($B269=0,AL269=0),"",AL269/$B269)</f>
        <v/>
      </c>
      <c r="AN269" s="201"/>
      <c r="AO269" s="198" t="str">
        <f t="shared" ref="AO269:AO300" si="93">IF(OR($B269=0,AN269=0),"",AN269/$B269)</f>
        <v/>
      </c>
      <c r="AP269" s="201">
        <v>19655</v>
      </c>
      <c r="AQ269" s="198">
        <f t="shared" ref="AQ269:AQ300" si="94">IF(OR($B269=0,AP269=0),"",AP269/$B269)</f>
        <v>3978.7449392712547</v>
      </c>
    </row>
    <row r="270" spans="1:43">
      <c r="A270" s="200"/>
      <c r="B270">
        <v>7.0999999999999994E-2</v>
      </c>
      <c r="D270" s="201">
        <v>34</v>
      </c>
      <c r="E270" s="198">
        <f t="shared" si="76"/>
        <v>478.87323943661977</v>
      </c>
      <c r="F270" s="201"/>
      <c r="G270" s="198" t="str">
        <f t="shared" si="76"/>
        <v/>
      </c>
      <c r="H270" s="201"/>
      <c r="I270" s="198" t="str">
        <f t="shared" si="77"/>
        <v/>
      </c>
      <c r="J270" s="201"/>
      <c r="K270" s="198" t="str">
        <f t="shared" si="78"/>
        <v/>
      </c>
      <c r="L270" s="201"/>
      <c r="M270" s="198" t="str">
        <f t="shared" si="79"/>
        <v/>
      </c>
      <c r="N270" s="201">
        <v>24</v>
      </c>
      <c r="O270" s="198">
        <f t="shared" si="80"/>
        <v>338.02816901408454</v>
      </c>
      <c r="P270" s="201">
        <v>148</v>
      </c>
      <c r="Q270" s="198">
        <f t="shared" si="81"/>
        <v>2084.5070422535214</v>
      </c>
      <c r="R270" s="201">
        <v>31</v>
      </c>
      <c r="S270" s="198">
        <f t="shared" si="82"/>
        <v>436.61971830985919</v>
      </c>
      <c r="T270" s="201"/>
      <c r="U270" s="198" t="str">
        <f t="shared" si="83"/>
        <v/>
      </c>
      <c r="V270" s="201"/>
      <c r="W270" s="198" t="str">
        <f t="shared" si="84"/>
        <v/>
      </c>
      <c r="X270" s="201"/>
      <c r="Y270" s="198" t="str">
        <f t="shared" si="85"/>
        <v/>
      </c>
      <c r="Z270" s="201"/>
      <c r="AA270" s="198" t="str">
        <f t="shared" si="86"/>
        <v/>
      </c>
      <c r="AB270" s="201"/>
      <c r="AC270" s="198" t="str">
        <f t="shared" si="87"/>
        <v/>
      </c>
      <c r="AD270" s="201"/>
      <c r="AE270" s="198" t="str">
        <f t="shared" si="88"/>
        <v/>
      </c>
      <c r="AF270" s="201"/>
      <c r="AG270" s="198" t="str">
        <f t="shared" si="89"/>
        <v/>
      </c>
      <c r="AH270" s="201"/>
      <c r="AI270" s="198" t="str">
        <f t="shared" si="90"/>
        <v/>
      </c>
      <c r="AJ270" s="201">
        <v>70</v>
      </c>
      <c r="AK270" s="198">
        <f t="shared" si="91"/>
        <v>985.91549295774655</v>
      </c>
      <c r="AL270" s="201"/>
      <c r="AM270" s="198" t="str">
        <f t="shared" si="92"/>
        <v/>
      </c>
      <c r="AN270" s="201"/>
      <c r="AO270" s="198" t="str">
        <f t="shared" si="93"/>
        <v/>
      </c>
      <c r="AP270" s="201">
        <v>273</v>
      </c>
      <c r="AQ270" s="198">
        <f t="shared" si="94"/>
        <v>3845.0704225352115</v>
      </c>
    </row>
    <row r="271" spans="1:43">
      <c r="A271" s="200"/>
      <c r="D271" s="201"/>
      <c r="E271" s="198" t="str">
        <f t="shared" si="76"/>
        <v/>
      </c>
      <c r="F271" s="201"/>
      <c r="G271" s="198" t="str">
        <f t="shared" si="76"/>
        <v/>
      </c>
      <c r="H271" s="201"/>
      <c r="I271" s="198" t="str">
        <f t="shared" si="77"/>
        <v/>
      </c>
      <c r="J271" s="201"/>
      <c r="K271" s="198" t="str">
        <f t="shared" si="78"/>
        <v/>
      </c>
      <c r="L271" s="201"/>
      <c r="M271" s="198" t="str">
        <f t="shared" si="79"/>
        <v/>
      </c>
      <c r="N271" s="201"/>
      <c r="O271" s="198" t="str">
        <f t="shared" si="80"/>
        <v/>
      </c>
      <c r="P271" s="201"/>
      <c r="Q271" s="198" t="str">
        <f t="shared" si="81"/>
        <v/>
      </c>
      <c r="R271" s="201"/>
      <c r="S271" s="198" t="str">
        <f t="shared" si="82"/>
        <v/>
      </c>
      <c r="T271" s="201"/>
      <c r="U271" s="198" t="str">
        <f t="shared" si="83"/>
        <v/>
      </c>
      <c r="V271" s="201"/>
      <c r="W271" s="198" t="str">
        <f t="shared" si="84"/>
        <v/>
      </c>
      <c r="X271" s="201"/>
      <c r="Y271" s="198" t="str">
        <f t="shared" si="85"/>
        <v/>
      </c>
      <c r="Z271" s="201"/>
      <c r="AA271" s="198" t="str">
        <f t="shared" si="86"/>
        <v/>
      </c>
      <c r="AB271" s="201"/>
      <c r="AC271" s="198" t="str">
        <f t="shared" si="87"/>
        <v/>
      </c>
      <c r="AD271" s="201"/>
      <c r="AE271" s="198" t="str">
        <f t="shared" si="88"/>
        <v/>
      </c>
      <c r="AF271" s="201"/>
      <c r="AG271" s="198" t="str">
        <f t="shared" si="89"/>
        <v/>
      </c>
      <c r="AH271" s="201"/>
      <c r="AI271" s="198" t="str">
        <f t="shared" si="90"/>
        <v/>
      </c>
      <c r="AJ271" s="201"/>
      <c r="AK271" s="198" t="str">
        <f t="shared" si="91"/>
        <v/>
      </c>
      <c r="AL271" s="201"/>
      <c r="AM271" s="198" t="str">
        <f t="shared" si="92"/>
        <v/>
      </c>
      <c r="AN271" s="201"/>
      <c r="AO271" s="198" t="str">
        <f t="shared" si="93"/>
        <v/>
      </c>
      <c r="AP271" s="201"/>
      <c r="AQ271" s="198" t="str">
        <f t="shared" si="94"/>
        <v/>
      </c>
    </row>
    <row r="272" spans="1:43">
      <c r="A272" s="200"/>
      <c r="B272">
        <v>1.3010000000000001E-2</v>
      </c>
      <c r="D272" s="201">
        <v>1449</v>
      </c>
      <c r="E272" s="198">
        <f t="shared" si="76"/>
        <v>111375.86471944657</v>
      </c>
      <c r="F272" s="201"/>
      <c r="G272" s="198" t="str">
        <f t="shared" si="76"/>
        <v/>
      </c>
      <c r="H272" s="201"/>
      <c r="I272" s="198" t="str">
        <f t="shared" si="77"/>
        <v/>
      </c>
      <c r="J272" s="201"/>
      <c r="K272" s="198" t="str">
        <f t="shared" si="78"/>
        <v/>
      </c>
      <c r="L272" s="201"/>
      <c r="M272" s="198" t="str">
        <f t="shared" si="79"/>
        <v/>
      </c>
      <c r="N272" s="201">
        <v>4</v>
      </c>
      <c r="O272" s="198">
        <f t="shared" si="80"/>
        <v>307.4558032282859</v>
      </c>
      <c r="P272" s="201">
        <v>111</v>
      </c>
      <c r="Q272" s="198">
        <f t="shared" si="81"/>
        <v>8531.898539584934</v>
      </c>
      <c r="R272" s="201">
        <v>5</v>
      </c>
      <c r="S272" s="198">
        <f t="shared" si="82"/>
        <v>384.31975403535739</v>
      </c>
      <c r="T272" s="201"/>
      <c r="U272" s="198" t="str">
        <f t="shared" si="83"/>
        <v/>
      </c>
      <c r="V272" s="201"/>
      <c r="W272" s="198" t="str">
        <f t="shared" si="84"/>
        <v/>
      </c>
      <c r="X272" s="201"/>
      <c r="Y272" s="198" t="str">
        <f t="shared" si="85"/>
        <v/>
      </c>
      <c r="Z272" s="201"/>
      <c r="AA272" s="198" t="str">
        <f t="shared" si="86"/>
        <v/>
      </c>
      <c r="AB272" s="201"/>
      <c r="AC272" s="198" t="str">
        <f t="shared" si="87"/>
        <v/>
      </c>
      <c r="AD272" s="201"/>
      <c r="AE272" s="198" t="str">
        <f t="shared" si="88"/>
        <v/>
      </c>
      <c r="AF272" s="201"/>
      <c r="AG272" s="198" t="str">
        <f t="shared" si="89"/>
        <v/>
      </c>
      <c r="AH272" s="201"/>
      <c r="AI272" s="198" t="str">
        <f t="shared" si="90"/>
        <v/>
      </c>
      <c r="AJ272" s="201">
        <v>120</v>
      </c>
      <c r="AK272" s="198">
        <f t="shared" si="91"/>
        <v>9223.6740968485774</v>
      </c>
      <c r="AL272" s="201"/>
      <c r="AM272" s="198" t="str">
        <f t="shared" si="92"/>
        <v/>
      </c>
      <c r="AN272" s="201"/>
      <c r="AO272" s="198" t="str">
        <f t="shared" si="93"/>
        <v/>
      </c>
      <c r="AP272" s="201">
        <v>240</v>
      </c>
      <c r="AQ272" s="198">
        <f t="shared" si="94"/>
        <v>18447.348193697155</v>
      </c>
    </row>
    <row r="273" spans="1:43">
      <c r="A273" s="190" t="s">
        <v>297</v>
      </c>
      <c r="B273" s="196">
        <v>9.16</v>
      </c>
      <c r="D273" s="197">
        <v>3664</v>
      </c>
      <c r="E273" s="198">
        <f t="shared" si="76"/>
        <v>400</v>
      </c>
      <c r="F273" s="197"/>
      <c r="G273" s="198" t="str">
        <f t="shared" si="76"/>
        <v/>
      </c>
      <c r="H273" s="197"/>
      <c r="I273" s="198" t="str">
        <f t="shared" si="77"/>
        <v/>
      </c>
      <c r="J273" s="197">
        <v>40628</v>
      </c>
      <c r="K273" s="198">
        <f t="shared" si="78"/>
        <v>4435.3711790393008</v>
      </c>
      <c r="L273" s="197"/>
      <c r="M273" s="198" t="str">
        <f t="shared" si="79"/>
        <v/>
      </c>
      <c r="N273" s="197"/>
      <c r="O273" s="198" t="str">
        <f t="shared" si="80"/>
        <v/>
      </c>
      <c r="P273" s="197">
        <v>4600</v>
      </c>
      <c r="Q273" s="198">
        <f t="shared" si="81"/>
        <v>502.1834061135371</v>
      </c>
      <c r="R273" s="197"/>
      <c r="S273" s="198" t="str">
        <f t="shared" si="82"/>
        <v/>
      </c>
      <c r="T273" s="197"/>
      <c r="U273" s="198" t="str">
        <f t="shared" si="83"/>
        <v/>
      </c>
      <c r="V273" s="197"/>
      <c r="W273" s="198" t="str">
        <f t="shared" si="84"/>
        <v/>
      </c>
      <c r="X273" s="197"/>
      <c r="Y273" s="198" t="str">
        <f t="shared" si="85"/>
        <v/>
      </c>
      <c r="Z273" s="197"/>
      <c r="AA273" s="198" t="str">
        <f t="shared" si="86"/>
        <v/>
      </c>
      <c r="AB273" s="197"/>
      <c r="AC273" s="198" t="str">
        <f t="shared" si="87"/>
        <v/>
      </c>
      <c r="AD273" s="197"/>
      <c r="AE273" s="198" t="str">
        <f t="shared" si="88"/>
        <v/>
      </c>
      <c r="AF273" s="197"/>
      <c r="AG273" s="198" t="str">
        <f t="shared" si="89"/>
        <v/>
      </c>
      <c r="AH273" s="197"/>
      <c r="AI273" s="198" t="str">
        <f t="shared" si="90"/>
        <v/>
      </c>
      <c r="AJ273" s="197"/>
      <c r="AK273" s="198" t="str">
        <f t="shared" si="91"/>
        <v/>
      </c>
      <c r="AL273" s="197"/>
      <c r="AM273" s="198" t="str">
        <f t="shared" si="92"/>
        <v/>
      </c>
      <c r="AN273" s="197"/>
      <c r="AO273" s="198" t="str">
        <f t="shared" si="93"/>
        <v/>
      </c>
      <c r="AP273" s="197">
        <v>45228</v>
      </c>
      <c r="AQ273" s="198">
        <f t="shared" si="94"/>
        <v>4937.5545851528386</v>
      </c>
    </row>
    <row r="274" spans="1:43">
      <c r="E274" s="198" t="str">
        <f t="shared" si="76"/>
        <v/>
      </c>
      <c r="G274" s="198" t="str">
        <f t="shared" si="76"/>
        <v/>
      </c>
      <c r="I274" s="198" t="str">
        <f t="shared" si="77"/>
        <v/>
      </c>
      <c r="K274" s="198" t="str">
        <f t="shared" si="78"/>
        <v/>
      </c>
      <c r="M274" s="198" t="str">
        <f t="shared" si="79"/>
        <v/>
      </c>
      <c r="O274" s="198" t="str">
        <f t="shared" si="80"/>
        <v/>
      </c>
      <c r="Q274" s="198" t="str">
        <f t="shared" si="81"/>
        <v/>
      </c>
      <c r="S274" s="198" t="str">
        <f t="shared" si="82"/>
        <v/>
      </c>
      <c r="U274" s="198" t="str">
        <f t="shared" si="83"/>
        <v/>
      </c>
      <c r="W274" s="198" t="str">
        <f t="shared" si="84"/>
        <v/>
      </c>
      <c r="Y274" s="198" t="str">
        <f t="shared" si="85"/>
        <v/>
      </c>
      <c r="AA274" s="198" t="str">
        <f t="shared" si="86"/>
        <v/>
      </c>
      <c r="AC274" s="198" t="str">
        <f t="shared" si="87"/>
        <v/>
      </c>
      <c r="AE274" s="198" t="str">
        <f t="shared" si="88"/>
        <v/>
      </c>
      <c r="AG274" s="198" t="str">
        <f t="shared" si="89"/>
        <v/>
      </c>
      <c r="AI274" s="198" t="str">
        <f t="shared" si="90"/>
        <v/>
      </c>
      <c r="AK274" s="198" t="str">
        <f t="shared" si="91"/>
        <v/>
      </c>
      <c r="AM274" s="198" t="str">
        <f t="shared" si="92"/>
        <v/>
      </c>
      <c r="AO274" s="198" t="str">
        <f t="shared" si="93"/>
        <v/>
      </c>
      <c r="AQ274" s="198" t="str">
        <f t="shared" si="94"/>
        <v/>
      </c>
    </row>
    <row r="275" spans="1:43">
      <c r="E275" s="198" t="str">
        <f t="shared" si="76"/>
        <v/>
      </c>
      <c r="G275" s="198" t="str">
        <f t="shared" si="76"/>
        <v/>
      </c>
      <c r="I275" s="198" t="str">
        <f t="shared" si="77"/>
        <v/>
      </c>
      <c r="K275" s="198" t="str">
        <f t="shared" si="78"/>
        <v/>
      </c>
      <c r="M275" s="198" t="str">
        <f t="shared" si="79"/>
        <v/>
      </c>
      <c r="O275" s="198" t="str">
        <f t="shared" si="80"/>
        <v/>
      </c>
      <c r="Q275" s="198" t="str">
        <f t="shared" si="81"/>
        <v/>
      </c>
      <c r="S275" s="198" t="str">
        <f t="shared" si="82"/>
        <v/>
      </c>
      <c r="U275" s="198" t="str">
        <f t="shared" si="83"/>
        <v/>
      </c>
      <c r="W275" s="198" t="str">
        <f t="shared" si="84"/>
        <v/>
      </c>
      <c r="Y275" s="198" t="str">
        <f t="shared" si="85"/>
        <v/>
      </c>
      <c r="AA275" s="198" t="str">
        <f t="shared" si="86"/>
        <v/>
      </c>
      <c r="AC275" s="198" t="str">
        <f t="shared" si="87"/>
        <v/>
      </c>
      <c r="AE275" s="198" t="str">
        <f t="shared" si="88"/>
        <v/>
      </c>
      <c r="AG275" s="198" t="str">
        <f t="shared" si="89"/>
        <v/>
      </c>
      <c r="AI275" s="198" t="str">
        <f t="shared" si="90"/>
        <v/>
      </c>
      <c r="AK275" s="198" t="str">
        <f t="shared" si="91"/>
        <v/>
      </c>
      <c r="AM275" s="198" t="str">
        <f t="shared" si="92"/>
        <v/>
      </c>
      <c r="AO275" s="198" t="str">
        <f t="shared" si="93"/>
        <v/>
      </c>
      <c r="AQ275" s="198" t="str">
        <f t="shared" si="94"/>
        <v/>
      </c>
    </row>
    <row r="276" spans="1:43">
      <c r="E276" s="198" t="str">
        <f t="shared" si="76"/>
        <v/>
      </c>
      <c r="G276" s="198" t="str">
        <f t="shared" si="76"/>
        <v/>
      </c>
      <c r="I276" s="198" t="str">
        <f t="shared" si="77"/>
        <v/>
      </c>
      <c r="K276" s="198" t="str">
        <f t="shared" si="78"/>
        <v/>
      </c>
      <c r="M276" s="198" t="str">
        <f t="shared" si="79"/>
        <v/>
      </c>
      <c r="O276" s="198" t="str">
        <f t="shared" si="80"/>
        <v/>
      </c>
      <c r="Q276" s="198" t="str">
        <f t="shared" si="81"/>
        <v/>
      </c>
      <c r="S276" s="198" t="str">
        <f t="shared" si="82"/>
        <v/>
      </c>
      <c r="U276" s="198" t="str">
        <f t="shared" si="83"/>
        <v/>
      </c>
      <c r="W276" s="198" t="str">
        <f t="shared" si="84"/>
        <v/>
      </c>
      <c r="Y276" s="198" t="str">
        <f t="shared" si="85"/>
        <v/>
      </c>
      <c r="AA276" s="198" t="str">
        <f t="shared" si="86"/>
        <v/>
      </c>
      <c r="AC276" s="198" t="str">
        <f t="shared" si="87"/>
        <v/>
      </c>
      <c r="AE276" s="198" t="str">
        <f t="shared" si="88"/>
        <v/>
      </c>
      <c r="AG276" s="198" t="str">
        <f t="shared" si="89"/>
        <v/>
      </c>
      <c r="AI276" s="198" t="str">
        <f t="shared" si="90"/>
        <v/>
      </c>
      <c r="AK276" s="198" t="str">
        <f t="shared" si="91"/>
        <v/>
      </c>
      <c r="AM276" s="198" t="str">
        <f t="shared" si="92"/>
        <v/>
      </c>
      <c r="AO276" s="198" t="str">
        <f t="shared" si="93"/>
        <v/>
      </c>
      <c r="AQ276" s="198" t="str">
        <f t="shared" si="94"/>
        <v/>
      </c>
    </row>
    <row r="277" spans="1:43">
      <c r="E277" s="198" t="str">
        <f t="shared" si="76"/>
        <v/>
      </c>
      <c r="G277" s="198" t="str">
        <f t="shared" si="76"/>
        <v/>
      </c>
      <c r="I277" s="198" t="str">
        <f t="shared" si="77"/>
        <v/>
      </c>
      <c r="K277" s="198" t="str">
        <f t="shared" si="78"/>
        <v/>
      </c>
      <c r="M277" s="198" t="str">
        <f t="shared" si="79"/>
        <v/>
      </c>
      <c r="O277" s="198" t="str">
        <f t="shared" si="80"/>
        <v/>
      </c>
      <c r="Q277" s="198" t="str">
        <f t="shared" si="81"/>
        <v/>
      </c>
      <c r="S277" s="198" t="str">
        <f t="shared" si="82"/>
        <v/>
      </c>
      <c r="U277" s="198" t="str">
        <f t="shared" si="83"/>
        <v/>
      </c>
      <c r="W277" s="198" t="str">
        <f t="shared" si="84"/>
        <v/>
      </c>
      <c r="Y277" s="198" t="str">
        <f t="shared" si="85"/>
        <v/>
      </c>
      <c r="AA277" s="198" t="str">
        <f t="shared" si="86"/>
        <v/>
      </c>
      <c r="AC277" s="198" t="str">
        <f t="shared" si="87"/>
        <v/>
      </c>
      <c r="AE277" s="198" t="str">
        <f t="shared" si="88"/>
        <v/>
      </c>
      <c r="AG277" s="198" t="str">
        <f t="shared" si="89"/>
        <v/>
      </c>
      <c r="AI277" s="198" t="str">
        <f t="shared" si="90"/>
        <v/>
      </c>
      <c r="AK277" s="198" t="str">
        <f t="shared" si="91"/>
        <v/>
      </c>
      <c r="AM277" s="198" t="str">
        <f t="shared" si="92"/>
        <v/>
      </c>
      <c r="AO277" s="198" t="str">
        <f t="shared" si="93"/>
        <v/>
      </c>
      <c r="AQ277" s="198" t="str">
        <f t="shared" si="94"/>
        <v/>
      </c>
    </row>
    <row r="278" spans="1:43">
      <c r="E278" s="198" t="str">
        <f t="shared" si="76"/>
        <v/>
      </c>
      <c r="G278" s="198" t="str">
        <f t="shared" si="76"/>
        <v/>
      </c>
      <c r="I278" s="198" t="str">
        <f t="shared" si="77"/>
        <v/>
      </c>
      <c r="K278" s="198" t="str">
        <f t="shared" si="78"/>
        <v/>
      </c>
      <c r="M278" s="198" t="str">
        <f t="shared" si="79"/>
        <v/>
      </c>
      <c r="O278" s="198" t="str">
        <f t="shared" si="80"/>
        <v/>
      </c>
      <c r="Q278" s="198" t="str">
        <f t="shared" si="81"/>
        <v/>
      </c>
      <c r="S278" s="198" t="str">
        <f t="shared" si="82"/>
        <v/>
      </c>
      <c r="U278" s="198" t="str">
        <f t="shared" si="83"/>
        <v/>
      </c>
      <c r="W278" s="198" t="str">
        <f t="shared" si="84"/>
        <v/>
      </c>
      <c r="Y278" s="198" t="str">
        <f t="shared" si="85"/>
        <v/>
      </c>
      <c r="AA278" s="198" t="str">
        <f t="shared" si="86"/>
        <v/>
      </c>
      <c r="AC278" s="198" t="str">
        <f t="shared" si="87"/>
        <v/>
      </c>
      <c r="AE278" s="198" t="str">
        <f t="shared" si="88"/>
        <v/>
      </c>
      <c r="AG278" s="198" t="str">
        <f t="shared" si="89"/>
        <v/>
      </c>
      <c r="AI278" s="198" t="str">
        <f t="shared" si="90"/>
        <v/>
      </c>
      <c r="AK278" s="198" t="str">
        <f t="shared" si="91"/>
        <v/>
      </c>
      <c r="AM278" s="198" t="str">
        <f t="shared" si="92"/>
        <v/>
      </c>
      <c r="AO278" s="198" t="str">
        <f t="shared" si="93"/>
        <v/>
      </c>
      <c r="AQ278" s="198" t="str">
        <f t="shared" si="94"/>
        <v/>
      </c>
    </row>
    <row r="279" spans="1:43">
      <c r="E279" s="198" t="str">
        <f t="shared" si="76"/>
        <v/>
      </c>
      <c r="G279" s="198" t="str">
        <f t="shared" si="76"/>
        <v/>
      </c>
      <c r="I279" s="198" t="str">
        <f t="shared" si="77"/>
        <v/>
      </c>
      <c r="K279" s="198" t="str">
        <f t="shared" si="78"/>
        <v/>
      </c>
      <c r="M279" s="198" t="str">
        <f t="shared" si="79"/>
        <v/>
      </c>
      <c r="O279" s="198" t="str">
        <f t="shared" si="80"/>
        <v/>
      </c>
      <c r="Q279" s="198" t="str">
        <f t="shared" si="81"/>
        <v/>
      </c>
      <c r="S279" s="198" t="str">
        <f t="shared" si="82"/>
        <v/>
      </c>
      <c r="U279" s="198" t="str">
        <f t="shared" si="83"/>
        <v/>
      </c>
      <c r="W279" s="198" t="str">
        <f t="shared" si="84"/>
        <v/>
      </c>
      <c r="Y279" s="198" t="str">
        <f t="shared" si="85"/>
        <v/>
      </c>
      <c r="AA279" s="198" t="str">
        <f t="shared" si="86"/>
        <v/>
      </c>
      <c r="AC279" s="198" t="str">
        <f t="shared" si="87"/>
        <v/>
      </c>
      <c r="AE279" s="198" t="str">
        <f t="shared" si="88"/>
        <v/>
      </c>
      <c r="AG279" s="198" t="str">
        <f t="shared" si="89"/>
        <v/>
      </c>
      <c r="AI279" s="198" t="str">
        <f t="shared" si="90"/>
        <v/>
      </c>
      <c r="AK279" s="198" t="str">
        <f t="shared" si="91"/>
        <v/>
      </c>
      <c r="AM279" s="198" t="str">
        <f t="shared" si="92"/>
        <v/>
      </c>
      <c r="AO279" s="198" t="str">
        <f t="shared" si="93"/>
        <v/>
      </c>
      <c r="AQ279" s="198" t="str">
        <f t="shared" si="94"/>
        <v/>
      </c>
    </row>
    <row r="280" spans="1:43">
      <c r="E280" s="198" t="str">
        <f t="shared" si="76"/>
        <v/>
      </c>
      <c r="G280" s="198" t="str">
        <f t="shared" si="76"/>
        <v/>
      </c>
      <c r="I280" s="198" t="str">
        <f t="shared" si="77"/>
        <v/>
      </c>
      <c r="K280" s="198" t="str">
        <f t="shared" si="78"/>
        <v/>
      </c>
      <c r="M280" s="198" t="str">
        <f t="shared" si="79"/>
        <v/>
      </c>
      <c r="O280" s="198" t="str">
        <f t="shared" si="80"/>
        <v/>
      </c>
      <c r="Q280" s="198" t="str">
        <f t="shared" si="81"/>
        <v/>
      </c>
      <c r="S280" s="198" t="str">
        <f t="shared" si="82"/>
        <v/>
      </c>
      <c r="U280" s="198" t="str">
        <f t="shared" si="83"/>
        <v/>
      </c>
      <c r="W280" s="198" t="str">
        <f t="shared" si="84"/>
        <v/>
      </c>
      <c r="Y280" s="198" t="str">
        <f t="shared" si="85"/>
        <v/>
      </c>
      <c r="AA280" s="198" t="str">
        <f t="shared" si="86"/>
        <v/>
      </c>
      <c r="AC280" s="198" t="str">
        <f t="shared" si="87"/>
        <v/>
      </c>
      <c r="AE280" s="198" t="str">
        <f t="shared" si="88"/>
        <v/>
      </c>
      <c r="AG280" s="198" t="str">
        <f t="shared" si="89"/>
        <v/>
      </c>
      <c r="AI280" s="198" t="str">
        <f t="shared" si="90"/>
        <v/>
      </c>
      <c r="AK280" s="198" t="str">
        <f t="shared" si="91"/>
        <v/>
      </c>
      <c r="AM280" s="198" t="str">
        <f t="shared" si="92"/>
        <v/>
      </c>
      <c r="AO280" s="198" t="str">
        <f t="shared" si="93"/>
        <v/>
      </c>
      <c r="AQ280" s="198" t="str">
        <f t="shared" si="94"/>
        <v/>
      </c>
    </row>
    <row r="281" spans="1:43">
      <c r="E281" s="198" t="str">
        <f t="shared" si="76"/>
        <v/>
      </c>
      <c r="G281" s="198" t="str">
        <f t="shared" si="76"/>
        <v/>
      </c>
      <c r="I281" s="198" t="str">
        <f t="shared" si="77"/>
        <v/>
      </c>
      <c r="K281" s="198" t="str">
        <f t="shared" si="78"/>
        <v/>
      </c>
      <c r="M281" s="198" t="str">
        <f t="shared" si="79"/>
        <v/>
      </c>
      <c r="O281" s="198" t="str">
        <f t="shared" si="80"/>
        <v/>
      </c>
      <c r="Q281" s="198" t="str">
        <f t="shared" si="81"/>
        <v/>
      </c>
      <c r="S281" s="198" t="str">
        <f t="shared" si="82"/>
        <v/>
      </c>
      <c r="U281" s="198" t="str">
        <f t="shared" si="83"/>
        <v/>
      </c>
      <c r="W281" s="198" t="str">
        <f t="shared" si="84"/>
        <v/>
      </c>
      <c r="Y281" s="198" t="str">
        <f t="shared" si="85"/>
        <v/>
      </c>
      <c r="AA281" s="198" t="str">
        <f t="shared" si="86"/>
        <v/>
      </c>
      <c r="AC281" s="198" t="str">
        <f t="shared" si="87"/>
        <v/>
      </c>
      <c r="AE281" s="198" t="str">
        <f t="shared" si="88"/>
        <v/>
      </c>
      <c r="AG281" s="198" t="str">
        <f t="shared" si="89"/>
        <v/>
      </c>
      <c r="AI281" s="198" t="str">
        <f t="shared" si="90"/>
        <v/>
      </c>
      <c r="AK281" s="198" t="str">
        <f t="shared" si="91"/>
        <v/>
      </c>
      <c r="AM281" s="198" t="str">
        <f t="shared" si="92"/>
        <v/>
      </c>
      <c r="AO281" s="198" t="str">
        <f t="shared" si="93"/>
        <v/>
      </c>
      <c r="AQ281" s="198" t="str">
        <f t="shared" si="94"/>
        <v/>
      </c>
    </row>
    <row r="282" spans="1:43">
      <c r="E282" s="198" t="str">
        <f t="shared" si="76"/>
        <v/>
      </c>
      <c r="G282" s="198" t="str">
        <f t="shared" si="76"/>
        <v/>
      </c>
      <c r="I282" s="198" t="str">
        <f t="shared" si="77"/>
        <v/>
      </c>
      <c r="K282" s="198" t="str">
        <f t="shared" si="78"/>
        <v/>
      </c>
      <c r="M282" s="198" t="str">
        <f t="shared" si="79"/>
        <v/>
      </c>
      <c r="O282" s="198" t="str">
        <f t="shared" si="80"/>
        <v/>
      </c>
      <c r="Q282" s="198" t="str">
        <f t="shared" si="81"/>
        <v/>
      </c>
      <c r="S282" s="198" t="str">
        <f t="shared" si="82"/>
        <v/>
      </c>
      <c r="U282" s="198" t="str">
        <f t="shared" si="83"/>
        <v/>
      </c>
      <c r="W282" s="198" t="str">
        <f t="shared" si="84"/>
        <v/>
      </c>
      <c r="Y282" s="198" t="str">
        <f t="shared" si="85"/>
        <v/>
      </c>
      <c r="AA282" s="198" t="str">
        <f t="shared" si="86"/>
        <v/>
      </c>
      <c r="AC282" s="198" t="str">
        <f t="shared" si="87"/>
        <v/>
      </c>
      <c r="AE282" s="198" t="str">
        <f t="shared" si="88"/>
        <v/>
      </c>
      <c r="AG282" s="198" t="str">
        <f t="shared" si="89"/>
        <v/>
      </c>
      <c r="AI282" s="198" t="str">
        <f t="shared" si="90"/>
        <v/>
      </c>
      <c r="AK282" s="198" t="str">
        <f t="shared" si="91"/>
        <v/>
      </c>
      <c r="AM282" s="198" t="str">
        <f t="shared" si="92"/>
        <v/>
      </c>
      <c r="AO282" s="198" t="str">
        <f t="shared" si="93"/>
        <v/>
      </c>
      <c r="AQ282" s="198" t="str">
        <f t="shared" si="94"/>
        <v/>
      </c>
    </row>
    <row r="283" spans="1:43">
      <c r="E283" s="198" t="str">
        <f t="shared" si="76"/>
        <v/>
      </c>
      <c r="G283" s="198" t="str">
        <f t="shared" si="76"/>
        <v/>
      </c>
      <c r="I283" s="198" t="str">
        <f t="shared" si="77"/>
        <v/>
      </c>
      <c r="K283" s="198" t="str">
        <f t="shared" si="78"/>
        <v/>
      </c>
      <c r="M283" s="198" t="str">
        <f t="shared" si="79"/>
        <v/>
      </c>
      <c r="O283" s="198" t="str">
        <f t="shared" si="80"/>
        <v/>
      </c>
      <c r="Q283" s="198" t="str">
        <f t="shared" si="81"/>
        <v/>
      </c>
      <c r="S283" s="198" t="str">
        <f t="shared" si="82"/>
        <v/>
      </c>
      <c r="U283" s="198" t="str">
        <f t="shared" si="83"/>
        <v/>
      </c>
      <c r="W283" s="198" t="str">
        <f t="shared" si="84"/>
        <v/>
      </c>
      <c r="Y283" s="198" t="str">
        <f t="shared" si="85"/>
        <v/>
      </c>
      <c r="AA283" s="198" t="str">
        <f t="shared" si="86"/>
        <v/>
      </c>
      <c r="AC283" s="198" t="str">
        <f t="shared" si="87"/>
        <v/>
      </c>
      <c r="AE283" s="198" t="str">
        <f t="shared" si="88"/>
        <v/>
      </c>
      <c r="AG283" s="198" t="str">
        <f t="shared" si="89"/>
        <v/>
      </c>
      <c r="AI283" s="198" t="str">
        <f t="shared" si="90"/>
        <v/>
      </c>
      <c r="AK283" s="198" t="str">
        <f t="shared" si="91"/>
        <v/>
      </c>
      <c r="AM283" s="198" t="str">
        <f t="shared" si="92"/>
        <v/>
      </c>
      <c r="AO283" s="198" t="str">
        <f t="shared" si="93"/>
        <v/>
      </c>
      <c r="AQ283" s="198" t="str">
        <f t="shared" si="94"/>
        <v/>
      </c>
    </row>
    <row r="284" spans="1:43">
      <c r="E284" s="198" t="str">
        <f t="shared" si="76"/>
        <v/>
      </c>
      <c r="G284" s="198" t="str">
        <f t="shared" si="76"/>
        <v/>
      </c>
      <c r="I284" s="198" t="str">
        <f t="shared" si="77"/>
        <v/>
      </c>
      <c r="K284" s="198" t="str">
        <f t="shared" si="78"/>
        <v/>
      </c>
      <c r="M284" s="198" t="str">
        <f t="shared" si="79"/>
        <v/>
      </c>
      <c r="O284" s="198" t="str">
        <f t="shared" si="80"/>
        <v/>
      </c>
      <c r="Q284" s="198" t="str">
        <f t="shared" si="81"/>
        <v/>
      </c>
      <c r="S284" s="198" t="str">
        <f t="shared" si="82"/>
        <v/>
      </c>
      <c r="U284" s="198" t="str">
        <f t="shared" si="83"/>
        <v/>
      </c>
      <c r="W284" s="198" t="str">
        <f t="shared" si="84"/>
        <v/>
      </c>
      <c r="Y284" s="198" t="str">
        <f t="shared" si="85"/>
        <v/>
      </c>
      <c r="AA284" s="198" t="str">
        <f t="shared" si="86"/>
        <v/>
      </c>
      <c r="AC284" s="198" t="str">
        <f t="shared" si="87"/>
        <v/>
      </c>
      <c r="AE284" s="198" t="str">
        <f t="shared" si="88"/>
        <v/>
      </c>
      <c r="AG284" s="198" t="str">
        <f t="shared" si="89"/>
        <v/>
      </c>
      <c r="AI284" s="198" t="str">
        <f t="shared" si="90"/>
        <v/>
      </c>
      <c r="AK284" s="198" t="str">
        <f t="shared" si="91"/>
        <v/>
      </c>
      <c r="AM284" s="198" t="str">
        <f t="shared" si="92"/>
        <v/>
      </c>
      <c r="AO284" s="198" t="str">
        <f t="shared" si="93"/>
        <v/>
      </c>
      <c r="AQ284" s="198" t="str">
        <f t="shared" si="94"/>
        <v/>
      </c>
    </row>
    <row r="285" spans="1:43">
      <c r="E285" s="198" t="str">
        <f t="shared" si="76"/>
        <v/>
      </c>
      <c r="G285" s="198" t="str">
        <f t="shared" si="76"/>
        <v/>
      </c>
      <c r="I285" s="198" t="str">
        <f t="shared" si="77"/>
        <v/>
      </c>
      <c r="K285" s="198" t="str">
        <f t="shared" si="78"/>
        <v/>
      </c>
      <c r="M285" s="198" t="str">
        <f t="shared" si="79"/>
        <v/>
      </c>
      <c r="O285" s="198" t="str">
        <f t="shared" si="80"/>
        <v/>
      </c>
      <c r="Q285" s="198" t="str">
        <f t="shared" si="81"/>
        <v/>
      </c>
      <c r="S285" s="198" t="str">
        <f t="shared" si="82"/>
        <v/>
      </c>
      <c r="U285" s="198" t="str">
        <f t="shared" si="83"/>
        <v/>
      </c>
      <c r="W285" s="198" t="str">
        <f t="shared" si="84"/>
        <v/>
      </c>
      <c r="Y285" s="198" t="str">
        <f t="shared" si="85"/>
        <v/>
      </c>
      <c r="AA285" s="198" t="str">
        <f t="shared" si="86"/>
        <v/>
      </c>
      <c r="AC285" s="198" t="str">
        <f t="shared" si="87"/>
        <v/>
      </c>
      <c r="AE285" s="198" t="str">
        <f t="shared" si="88"/>
        <v/>
      </c>
      <c r="AG285" s="198" t="str">
        <f t="shared" si="89"/>
        <v/>
      </c>
      <c r="AI285" s="198" t="str">
        <f t="shared" si="90"/>
        <v/>
      </c>
      <c r="AK285" s="198" t="str">
        <f t="shared" si="91"/>
        <v/>
      </c>
      <c r="AM285" s="198" t="str">
        <f t="shared" si="92"/>
        <v/>
      </c>
      <c r="AO285" s="198" t="str">
        <f t="shared" si="93"/>
        <v/>
      </c>
      <c r="AQ285" s="198" t="str">
        <f t="shared" si="94"/>
        <v/>
      </c>
    </row>
    <row r="286" spans="1:43">
      <c r="E286" s="198" t="str">
        <f t="shared" si="76"/>
        <v/>
      </c>
      <c r="G286" s="198" t="str">
        <f t="shared" si="76"/>
        <v/>
      </c>
      <c r="I286" s="198" t="str">
        <f t="shared" si="77"/>
        <v/>
      </c>
      <c r="K286" s="198" t="str">
        <f t="shared" si="78"/>
        <v/>
      </c>
      <c r="M286" s="198" t="str">
        <f t="shared" si="79"/>
        <v/>
      </c>
      <c r="O286" s="198" t="str">
        <f t="shared" si="80"/>
        <v/>
      </c>
      <c r="Q286" s="198" t="str">
        <f t="shared" si="81"/>
        <v/>
      </c>
      <c r="S286" s="198" t="str">
        <f t="shared" si="82"/>
        <v/>
      </c>
      <c r="U286" s="198" t="str">
        <f t="shared" si="83"/>
        <v/>
      </c>
      <c r="W286" s="198" t="str">
        <f t="shared" si="84"/>
        <v/>
      </c>
      <c r="Y286" s="198" t="str">
        <f t="shared" si="85"/>
        <v/>
      </c>
      <c r="AA286" s="198" t="str">
        <f t="shared" si="86"/>
        <v/>
      </c>
      <c r="AC286" s="198" t="str">
        <f t="shared" si="87"/>
        <v/>
      </c>
      <c r="AE286" s="198" t="str">
        <f t="shared" si="88"/>
        <v/>
      </c>
      <c r="AG286" s="198" t="str">
        <f t="shared" si="89"/>
        <v/>
      </c>
      <c r="AI286" s="198" t="str">
        <f t="shared" si="90"/>
        <v/>
      </c>
      <c r="AK286" s="198" t="str">
        <f t="shared" si="91"/>
        <v/>
      </c>
      <c r="AM286" s="198" t="str">
        <f t="shared" si="92"/>
        <v/>
      </c>
      <c r="AO286" s="198" t="str">
        <f t="shared" si="93"/>
        <v/>
      </c>
      <c r="AQ286" s="198" t="str">
        <f t="shared" si="94"/>
        <v/>
      </c>
    </row>
    <row r="287" spans="1:43">
      <c r="E287" s="198" t="str">
        <f t="shared" si="76"/>
        <v/>
      </c>
      <c r="G287" s="198" t="str">
        <f t="shared" si="76"/>
        <v/>
      </c>
      <c r="I287" s="198" t="str">
        <f t="shared" si="77"/>
        <v/>
      </c>
      <c r="K287" s="198" t="str">
        <f t="shared" si="78"/>
        <v/>
      </c>
      <c r="M287" s="198" t="str">
        <f t="shared" si="79"/>
        <v/>
      </c>
      <c r="O287" s="198" t="str">
        <f t="shared" si="80"/>
        <v/>
      </c>
      <c r="Q287" s="198" t="str">
        <f t="shared" si="81"/>
        <v/>
      </c>
      <c r="S287" s="198" t="str">
        <f t="shared" si="82"/>
        <v/>
      </c>
      <c r="U287" s="198" t="str">
        <f t="shared" si="83"/>
        <v/>
      </c>
      <c r="W287" s="198" t="str">
        <f t="shared" si="84"/>
        <v/>
      </c>
      <c r="Y287" s="198" t="str">
        <f t="shared" si="85"/>
        <v/>
      </c>
      <c r="AA287" s="198" t="str">
        <f t="shared" si="86"/>
        <v/>
      </c>
      <c r="AC287" s="198" t="str">
        <f t="shared" si="87"/>
        <v/>
      </c>
      <c r="AE287" s="198" t="str">
        <f t="shared" si="88"/>
        <v/>
      </c>
      <c r="AG287" s="198" t="str">
        <f t="shared" si="89"/>
        <v/>
      </c>
      <c r="AI287" s="198" t="str">
        <f t="shared" si="90"/>
        <v/>
      </c>
      <c r="AK287" s="198" t="str">
        <f t="shared" si="91"/>
        <v/>
      </c>
      <c r="AM287" s="198" t="str">
        <f t="shared" si="92"/>
        <v/>
      </c>
      <c r="AO287" s="198" t="str">
        <f t="shared" si="93"/>
        <v/>
      </c>
      <c r="AQ287" s="198" t="str">
        <f t="shared" si="94"/>
        <v/>
      </c>
    </row>
    <row r="288" spans="1:43">
      <c r="E288" s="198" t="str">
        <f t="shared" si="76"/>
        <v/>
      </c>
      <c r="G288" s="198" t="str">
        <f t="shared" si="76"/>
        <v/>
      </c>
      <c r="I288" s="198" t="str">
        <f t="shared" si="77"/>
        <v/>
      </c>
      <c r="K288" s="198" t="str">
        <f t="shared" si="78"/>
        <v/>
      </c>
      <c r="M288" s="198" t="str">
        <f t="shared" si="79"/>
        <v/>
      </c>
      <c r="O288" s="198" t="str">
        <f t="shared" si="80"/>
        <v/>
      </c>
      <c r="Q288" s="198" t="str">
        <f t="shared" si="81"/>
        <v/>
      </c>
      <c r="S288" s="198" t="str">
        <f t="shared" si="82"/>
        <v/>
      </c>
      <c r="U288" s="198" t="str">
        <f t="shared" si="83"/>
        <v/>
      </c>
      <c r="W288" s="198" t="str">
        <f t="shared" si="84"/>
        <v/>
      </c>
      <c r="Y288" s="198" t="str">
        <f t="shared" si="85"/>
        <v/>
      </c>
      <c r="AA288" s="198" t="str">
        <f t="shared" si="86"/>
        <v/>
      </c>
      <c r="AC288" s="198" t="str">
        <f t="shared" si="87"/>
        <v/>
      </c>
      <c r="AE288" s="198" t="str">
        <f t="shared" si="88"/>
        <v/>
      </c>
      <c r="AG288" s="198" t="str">
        <f t="shared" si="89"/>
        <v/>
      </c>
      <c r="AI288" s="198" t="str">
        <f t="shared" si="90"/>
        <v/>
      </c>
      <c r="AK288" s="198" t="str">
        <f t="shared" si="91"/>
        <v/>
      </c>
      <c r="AM288" s="198" t="str">
        <f t="shared" si="92"/>
        <v/>
      </c>
      <c r="AO288" s="198" t="str">
        <f t="shared" si="93"/>
        <v/>
      </c>
      <c r="AQ288" s="198" t="str">
        <f t="shared" si="94"/>
        <v/>
      </c>
    </row>
    <row r="289" spans="5:43">
      <c r="E289" s="198" t="str">
        <f t="shared" si="76"/>
        <v/>
      </c>
      <c r="G289" s="198" t="str">
        <f t="shared" si="76"/>
        <v/>
      </c>
      <c r="I289" s="198" t="str">
        <f t="shared" si="77"/>
        <v/>
      </c>
      <c r="K289" s="198" t="str">
        <f t="shared" si="78"/>
        <v/>
      </c>
      <c r="M289" s="198" t="str">
        <f t="shared" si="79"/>
        <v/>
      </c>
      <c r="O289" s="198" t="str">
        <f t="shared" si="80"/>
        <v/>
      </c>
      <c r="Q289" s="198" t="str">
        <f t="shared" si="81"/>
        <v/>
      </c>
      <c r="S289" s="198" t="str">
        <f t="shared" si="82"/>
        <v/>
      </c>
      <c r="U289" s="198" t="str">
        <f t="shared" si="83"/>
        <v/>
      </c>
      <c r="W289" s="198" t="str">
        <f t="shared" si="84"/>
        <v/>
      </c>
      <c r="Y289" s="198" t="str">
        <f t="shared" si="85"/>
        <v/>
      </c>
      <c r="AA289" s="198" t="str">
        <f t="shared" si="86"/>
        <v/>
      </c>
      <c r="AC289" s="198" t="str">
        <f t="shared" si="87"/>
        <v/>
      </c>
      <c r="AE289" s="198" t="str">
        <f t="shared" si="88"/>
        <v/>
      </c>
      <c r="AG289" s="198" t="str">
        <f t="shared" si="89"/>
        <v/>
      </c>
      <c r="AI289" s="198" t="str">
        <f t="shared" si="90"/>
        <v/>
      </c>
      <c r="AK289" s="198" t="str">
        <f t="shared" si="91"/>
        <v/>
      </c>
      <c r="AM289" s="198" t="str">
        <f t="shared" si="92"/>
        <v/>
      </c>
      <c r="AO289" s="198" t="str">
        <f t="shared" si="93"/>
        <v/>
      </c>
      <c r="AQ289" s="198" t="str">
        <f t="shared" si="94"/>
        <v/>
      </c>
    </row>
    <row r="290" spans="5:43">
      <c r="E290" s="198" t="str">
        <f t="shared" si="76"/>
        <v/>
      </c>
      <c r="G290" s="198" t="str">
        <f t="shared" si="76"/>
        <v/>
      </c>
      <c r="I290" s="198" t="str">
        <f t="shared" si="77"/>
        <v/>
      </c>
      <c r="K290" s="198" t="str">
        <f t="shared" si="78"/>
        <v/>
      </c>
      <c r="M290" s="198" t="str">
        <f t="shared" si="79"/>
        <v/>
      </c>
      <c r="O290" s="198" t="str">
        <f t="shared" si="80"/>
        <v/>
      </c>
      <c r="Q290" s="198" t="str">
        <f t="shared" si="81"/>
        <v/>
      </c>
      <c r="S290" s="198" t="str">
        <f t="shared" si="82"/>
        <v/>
      </c>
      <c r="U290" s="198" t="str">
        <f t="shared" si="83"/>
        <v/>
      </c>
      <c r="W290" s="198" t="str">
        <f t="shared" si="84"/>
        <v/>
      </c>
      <c r="Y290" s="198" t="str">
        <f t="shared" si="85"/>
        <v/>
      </c>
      <c r="AA290" s="198" t="str">
        <f t="shared" si="86"/>
        <v/>
      </c>
      <c r="AC290" s="198" t="str">
        <f t="shared" si="87"/>
        <v/>
      </c>
      <c r="AE290" s="198" t="str">
        <f t="shared" si="88"/>
        <v/>
      </c>
      <c r="AG290" s="198" t="str">
        <f t="shared" si="89"/>
        <v/>
      </c>
      <c r="AI290" s="198" t="str">
        <f t="shared" si="90"/>
        <v/>
      </c>
      <c r="AK290" s="198" t="str">
        <f t="shared" si="91"/>
        <v/>
      </c>
      <c r="AM290" s="198" t="str">
        <f t="shared" si="92"/>
        <v/>
      </c>
      <c r="AO290" s="198" t="str">
        <f t="shared" si="93"/>
        <v/>
      </c>
      <c r="AQ290" s="198" t="str">
        <f t="shared" si="94"/>
        <v/>
      </c>
    </row>
    <row r="291" spans="5:43">
      <c r="E291" s="198" t="str">
        <f t="shared" si="76"/>
        <v/>
      </c>
      <c r="G291" s="198" t="str">
        <f t="shared" si="76"/>
        <v/>
      </c>
      <c r="I291" s="198" t="str">
        <f t="shared" si="77"/>
        <v/>
      </c>
      <c r="K291" s="198" t="str">
        <f t="shared" si="78"/>
        <v/>
      </c>
      <c r="M291" s="198" t="str">
        <f t="shared" si="79"/>
        <v/>
      </c>
      <c r="O291" s="198" t="str">
        <f t="shared" si="80"/>
        <v/>
      </c>
      <c r="Q291" s="198" t="str">
        <f t="shared" si="81"/>
        <v/>
      </c>
      <c r="S291" s="198" t="str">
        <f t="shared" si="82"/>
        <v/>
      </c>
      <c r="U291" s="198" t="str">
        <f t="shared" si="83"/>
        <v/>
      </c>
      <c r="W291" s="198" t="str">
        <f t="shared" si="84"/>
        <v/>
      </c>
      <c r="Y291" s="198" t="str">
        <f t="shared" si="85"/>
        <v/>
      </c>
      <c r="AA291" s="198" t="str">
        <f t="shared" si="86"/>
        <v/>
      </c>
      <c r="AC291" s="198" t="str">
        <f t="shared" si="87"/>
        <v/>
      </c>
      <c r="AE291" s="198" t="str">
        <f t="shared" si="88"/>
        <v/>
      </c>
      <c r="AG291" s="198" t="str">
        <f t="shared" si="89"/>
        <v/>
      </c>
      <c r="AI291" s="198" t="str">
        <f t="shared" si="90"/>
        <v/>
      </c>
      <c r="AK291" s="198" t="str">
        <f t="shared" si="91"/>
        <v/>
      </c>
      <c r="AM291" s="198" t="str">
        <f t="shared" si="92"/>
        <v/>
      </c>
      <c r="AO291" s="198" t="str">
        <f t="shared" si="93"/>
        <v/>
      </c>
      <c r="AQ291" s="198" t="str">
        <f t="shared" si="94"/>
        <v/>
      </c>
    </row>
    <row r="292" spans="5:43">
      <c r="E292" s="198" t="str">
        <f t="shared" si="76"/>
        <v/>
      </c>
      <c r="G292" s="198" t="str">
        <f t="shared" si="76"/>
        <v/>
      </c>
      <c r="I292" s="198" t="str">
        <f t="shared" si="77"/>
        <v/>
      </c>
      <c r="K292" s="198" t="str">
        <f t="shared" si="78"/>
        <v/>
      </c>
      <c r="M292" s="198" t="str">
        <f t="shared" si="79"/>
        <v/>
      </c>
      <c r="O292" s="198" t="str">
        <f t="shared" si="80"/>
        <v/>
      </c>
      <c r="Q292" s="198" t="str">
        <f t="shared" si="81"/>
        <v/>
      </c>
      <c r="S292" s="198" t="str">
        <f t="shared" si="82"/>
        <v/>
      </c>
      <c r="U292" s="198" t="str">
        <f t="shared" si="83"/>
        <v/>
      </c>
      <c r="W292" s="198" t="str">
        <f t="shared" si="84"/>
        <v/>
      </c>
      <c r="Y292" s="198" t="str">
        <f t="shared" si="85"/>
        <v/>
      </c>
      <c r="AA292" s="198" t="str">
        <f t="shared" si="86"/>
        <v/>
      </c>
      <c r="AC292" s="198" t="str">
        <f t="shared" si="87"/>
        <v/>
      </c>
      <c r="AE292" s="198" t="str">
        <f t="shared" si="88"/>
        <v/>
      </c>
      <c r="AG292" s="198" t="str">
        <f t="shared" si="89"/>
        <v/>
      </c>
      <c r="AI292" s="198" t="str">
        <f t="shared" si="90"/>
        <v/>
      </c>
      <c r="AK292" s="198" t="str">
        <f t="shared" si="91"/>
        <v/>
      </c>
      <c r="AM292" s="198" t="str">
        <f t="shared" si="92"/>
        <v/>
      </c>
      <c r="AO292" s="198" t="str">
        <f t="shared" si="93"/>
        <v/>
      </c>
      <c r="AQ292" s="198" t="str">
        <f t="shared" si="94"/>
        <v/>
      </c>
    </row>
    <row r="293" spans="5:43">
      <c r="E293" s="198" t="str">
        <f t="shared" si="76"/>
        <v/>
      </c>
      <c r="G293" s="198" t="str">
        <f t="shared" si="76"/>
        <v/>
      </c>
      <c r="I293" s="198" t="str">
        <f t="shared" si="77"/>
        <v/>
      </c>
      <c r="K293" s="198" t="str">
        <f t="shared" si="78"/>
        <v/>
      </c>
      <c r="M293" s="198" t="str">
        <f t="shared" si="79"/>
        <v/>
      </c>
      <c r="O293" s="198" t="str">
        <f t="shared" si="80"/>
        <v/>
      </c>
      <c r="Q293" s="198" t="str">
        <f t="shared" si="81"/>
        <v/>
      </c>
      <c r="S293" s="198" t="str">
        <f t="shared" si="82"/>
        <v/>
      </c>
      <c r="U293" s="198" t="str">
        <f t="shared" si="83"/>
        <v/>
      </c>
      <c r="W293" s="198" t="str">
        <f t="shared" si="84"/>
        <v/>
      </c>
      <c r="Y293" s="198" t="str">
        <f t="shared" si="85"/>
        <v/>
      </c>
      <c r="AA293" s="198" t="str">
        <f t="shared" si="86"/>
        <v/>
      </c>
      <c r="AC293" s="198" t="str">
        <f t="shared" si="87"/>
        <v/>
      </c>
      <c r="AE293" s="198" t="str">
        <f t="shared" si="88"/>
        <v/>
      </c>
      <c r="AG293" s="198" t="str">
        <f t="shared" si="89"/>
        <v/>
      </c>
      <c r="AI293" s="198" t="str">
        <f t="shared" si="90"/>
        <v/>
      </c>
      <c r="AK293" s="198" t="str">
        <f t="shared" si="91"/>
        <v/>
      </c>
      <c r="AM293" s="198" t="str">
        <f t="shared" si="92"/>
        <v/>
      </c>
      <c r="AO293" s="198" t="str">
        <f t="shared" si="93"/>
        <v/>
      </c>
      <c r="AQ293" s="198" t="str">
        <f t="shared" si="94"/>
        <v/>
      </c>
    </row>
    <row r="294" spans="5:43">
      <c r="E294" s="198" t="str">
        <f t="shared" si="76"/>
        <v/>
      </c>
      <c r="G294" s="198" t="str">
        <f t="shared" si="76"/>
        <v/>
      </c>
      <c r="I294" s="198" t="str">
        <f t="shared" si="77"/>
        <v/>
      </c>
      <c r="K294" s="198" t="str">
        <f t="shared" si="78"/>
        <v/>
      </c>
      <c r="M294" s="198" t="str">
        <f t="shared" si="79"/>
        <v/>
      </c>
      <c r="O294" s="198" t="str">
        <f t="shared" si="80"/>
        <v/>
      </c>
      <c r="Q294" s="198" t="str">
        <f t="shared" si="81"/>
        <v/>
      </c>
      <c r="S294" s="198" t="str">
        <f t="shared" si="82"/>
        <v/>
      </c>
      <c r="U294" s="198" t="str">
        <f t="shared" si="83"/>
        <v/>
      </c>
      <c r="W294" s="198" t="str">
        <f t="shared" si="84"/>
        <v/>
      </c>
      <c r="Y294" s="198" t="str">
        <f t="shared" si="85"/>
        <v/>
      </c>
      <c r="AA294" s="198" t="str">
        <f t="shared" si="86"/>
        <v/>
      </c>
      <c r="AC294" s="198" t="str">
        <f t="shared" si="87"/>
        <v/>
      </c>
      <c r="AE294" s="198" t="str">
        <f t="shared" si="88"/>
        <v/>
      </c>
      <c r="AG294" s="198" t="str">
        <f t="shared" si="89"/>
        <v/>
      </c>
      <c r="AI294" s="198" t="str">
        <f t="shared" si="90"/>
        <v/>
      </c>
      <c r="AK294" s="198" t="str">
        <f t="shared" si="91"/>
        <v/>
      </c>
      <c r="AM294" s="198" t="str">
        <f t="shared" si="92"/>
        <v/>
      </c>
      <c r="AO294" s="198" t="str">
        <f t="shared" si="93"/>
        <v/>
      </c>
      <c r="AQ294" s="198" t="str">
        <f t="shared" si="94"/>
        <v/>
      </c>
    </row>
    <row r="295" spans="5:43">
      <c r="E295" s="198" t="str">
        <f t="shared" si="76"/>
        <v/>
      </c>
      <c r="G295" s="198" t="str">
        <f t="shared" si="76"/>
        <v/>
      </c>
      <c r="I295" s="198" t="str">
        <f t="shared" si="77"/>
        <v/>
      </c>
      <c r="K295" s="198" t="str">
        <f t="shared" si="78"/>
        <v/>
      </c>
      <c r="M295" s="198" t="str">
        <f t="shared" si="79"/>
        <v/>
      </c>
      <c r="O295" s="198" t="str">
        <f t="shared" si="80"/>
        <v/>
      </c>
      <c r="Q295" s="198" t="str">
        <f t="shared" si="81"/>
        <v/>
      </c>
      <c r="S295" s="198" t="str">
        <f t="shared" si="82"/>
        <v/>
      </c>
      <c r="U295" s="198" t="str">
        <f t="shared" si="83"/>
        <v/>
      </c>
      <c r="W295" s="198" t="str">
        <f t="shared" si="84"/>
        <v/>
      </c>
      <c r="Y295" s="198" t="str">
        <f t="shared" si="85"/>
        <v/>
      </c>
      <c r="AA295" s="198" t="str">
        <f t="shared" si="86"/>
        <v/>
      </c>
      <c r="AC295" s="198" t="str">
        <f t="shared" si="87"/>
        <v/>
      </c>
      <c r="AE295" s="198" t="str">
        <f t="shared" si="88"/>
        <v/>
      </c>
      <c r="AG295" s="198" t="str">
        <f t="shared" si="89"/>
        <v/>
      </c>
      <c r="AI295" s="198" t="str">
        <f t="shared" si="90"/>
        <v/>
      </c>
      <c r="AK295" s="198" t="str">
        <f t="shared" si="91"/>
        <v/>
      </c>
      <c r="AM295" s="198" t="str">
        <f t="shared" si="92"/>
        <v/>
      </c>
      <c r="AO295" s="198" t="str">
        <f t="shared" si="93"/>
        <v/>
      </c>
      <c r="AQ295" s="198" t="str">
        <f t="shared" si="94"/>
        <v/>
      </c>
    </row>
    <row r="296" spans="5:43">
      <c r="E296" s="198" t="str">
        <f t="shared" si="76"/>
        <v/>
      </c>
      <c r="G296" s="198" t="str">
        <f t="shared" si="76"/>
        <v/>
      </c>
      <c r="I296" s="198" t="str">
        <f t="shared" si="77"/>
        <v/>
      </c>
      <c r="K296" s="198" t="str">
        <f t="shared" si="78"/>
        <v/>
      </c>
      <c r="M296" s="198" t="str">
        <f t="shared" si="79"/>
        <v/>
      </c>
      <c r="O296" s="198" t="str">
        <f t="shared" si="80"/>
        <v/>
      </c>
      <c r="Q296" s="198" t="str">
        <f t="shared" si="81"/>
        <v/>
      </c>
      <c r="S296" s="198" t="str">
        <f t="shared" si="82"/>
        <v/>
      </c>
      <c r="U296" s="198" t="str">
        <f t="shared" si="83"/>
        <v/>
      </c>
      <c r="W296" s="198" t="str">
        <f t="shared" si="84"/>
        <v/>
      </c>
      <c r="Y296" s="198" t="str">
        <f t="shared" si="85"/>
        <v/>
      </c>
      <c r="AA296" s="198" t="str">
        <f t="shared" si="86"/>
        <v/>
      </c>
      <c r="AC296" s="198" t="str">
        <f t="shared" si="87"/>
        <v/>
      </c>
      <c r="AE296" s="198" t="str">
        <f t="shared" si="88"/>
        <v/>
      </c>
      <c r="AG296" s="198" t="str">
        <f t="shared" si="89"/>
        <v/>
      </c>
      <c r="AI296" s="198" t="str">
        <f t="shared" si="90"/>
        <v/>
      </c>
      <c r="AK296" s="198" t="str">
        <f t="shared" si="91"/>
        <v/>
      </c>
      <c r="AM296" s="198" t="str">
        <f t="shared" si="92"/>
        <v/>
      </c>
      <c r="AO296" s="198" t="str">
        <f t="shared" si="93"/>
        <v/>
      </c>
      <c r="AQ296" s="198" t="str">
        <f t="shared" si="94"/>
        <v/>
      </c>
    </row>
    <row r="297" spans="5:43">
      <c r="E297" s="198" t="str">
        <f t="shared" si="76"/>
        <v/>
      </c>
      <c r="G297" s="198" t="str">
        <f t="shared" si="76"/>
        <v/>
      </c>
      <c r="I297" s="198" t="str">
        <f t="shared" si="77"/>
        <v/>
      </c>
      <c r="K297" s="198" t="str">
        <f t="shared" si="78"/>
        <v/>
      </c>
      <c r="M297" s="198" t="str">
        <f t="shared" si="79"/>
        <v/>
      </c>
      <c r="O297" s="198" t="str">
        <f t="shared" si="80"/>
        <v/>
      </c>
      <c r="Q297" s="198" t="str">
        <f t="shared" si="81"/>
        <v/>
      </c>
      <c r="S297" s="198" t="str">
        <f t="shared" si="82"/>
        <v/>
      </c>
      <c r="U297" s="198" t="str">
        <f t="shared" si="83"/>
        <v/>
      </c>
      <c r="W297" s="198" t="str">
        <f t="shared" si="84"/>
        <v/>
      </c>
      <c r="Y297" s="198" t="str">
        <f t="shared" si="85"/>
        <v/>
      </c>
      <c r="AA297" s="198" t="str">
        <f t="shared" si="86"/>
        <v/>
      </c>
      <c r="AC297" s="198" t="str">
        <f t="shared" si="87"/>
        <v/>
      </c>
      <c r="AE297" s="198" t="str">
        <f t="shared" si="88"/>
        <v/>
      </c>
      <c r="AG297" s="198" t="str">
        <f t="shared" si="89"/>
        <v/>
      </c>
      <c r="AI297" s="198" t="str">
        <f t="shared" si="90"/>
        <v/>
      </c>
      <c r="AK297" s="198" t="str">
        <f t="shared" si="91"/>
        <v/>
      </c>
      <c r="AM297" s="198" t="str">
        <f t="shared" si="92"/>
        <v/>
      </c>
      <c r="AO297" s="198" t="str">
        <f t="shared" si="93"/>
        <v/>
      </c>
      <c r="AQ297" s="198" t="str">
        <f t="shared" si="94"/>
        <v/>
      </c>
    </row>
    <row r="298" spans="5:43">
      <c r="E298" s="198" t="str">
        <f t="shared" si="76"/>
        <v/>
      </c>
      <c r="G298" s="198" t="str">
        <f t="shared" si="76"/>
        <v/>
      </c>
      <c r="I298" s="198" t="str">
        <f t="shared" si="77"/>
        <v/>
      </c>
      <c r="K298" s="198" t="str">
        <f t="shared" si="78"/>
        <v/>
      </c>
      <c r="M298" s="198" t="str">
        <f t="shared" si="79"/>
        <v/>
      </c>
      <c r="O298" s="198" t="str">
        <f t="shared" si="80"/>
        <v/>
      </c>
      <c r="Q298" s="198" t="str">
        <f t="shared" si="81"/>
        <v/>
      </c>
      <c r="S298" s="198" t="str">
        <f t="shared" si="82"/>
        <v/>
      </c>
      <c r="U298" s="198" t="str">
        <f t="shared" si="83"/>
        <v/>
      </c>
      <c r="W298" s="198" t="str">
        <f t="shared" si="84"/>
        <v/>
      </c>
      <c r="Y298" s="198" t="str">
        <f t="shared" si="85"/>
        <v/>
      </c>
      <c r="AA298" s="198" t="str">
        <f t="shared" si="86"/>
        <v/>
      </c>
      <c r="AC298" s="198" t="str">
        <f t="shared" si="87"/>
        <v/>
      </c>
      <c r="AE298" s="198" t="str">
        <f t="shared" si="88"/>
        <v/>
      </c>
      <c r="AG298" s="198" t="str">
        <f t="shared" si="89"/>
        <v/>
      </c>
      <c r="AI298" s="198" t="str">
        <f t="shared" si="90"/>
        <v/>
      </c>
      <c r="AK298" s="198" t="str">
        <f t="shared" si="91"/>
        <v/>
      </c>
      <c r="AM298" s="198" t="str">
        <f t="shared" si="92"/>
        <v/>
      </c>
      <c r="AO298" s="198" t="str">
        <f t="shared" si="93"/>
        <v/>
      </c>
      <c r="AQ298" s="198" t="str">
        <f t="shared" si="94"/>
        <v/>
      </c>
    </row>
    <row r="299" spans="5:43">
      <c r="E299" s="198" t="str">
        <f t="shared" si="76"/>
        <v/>
      </c>
      <c r="G299" s="198" t="str">
        <f t="shared" si="76"/>
        <v/>
      </c>
      <c r="I299" s="198" t="str">
        <f t="shared" si="77"/>
        <v/>
      </c>
      <c r="K299" s="198" t="str">
        <f t="shared" si="78"/>
        <v/>
      </c>
      <c r="M299" s="198" t="str">
        <f t="shared" si="79"/>
        <v/>
      </c>
      <c r="O299" s="198" t="str">
        <f t="shared" si="80"/>
        <v/>
      </c>
      <c r="Q299" s="198" t="str">
        <f t="shared" si="81"/>
        <v/>
      </c>
      <c r="S299" s="198" t="str">
        <f t="shared" si="82"/>
        <v/>
      </c>
      <c r="U299" s="198" t="str">
        <f t="shared" si="83"/>
        <v/>
      </c>
      <c r="W299" s="198" t="str">
        <f t="shared" si="84"/>
        <v/>
      </c>
      <c r="Y299" s="198" t="str">
        <f t="shared" si="85"/>
        <v/>
      </c>
      <c r="AA299" s="198" t="str">
        <f t="shared" si="86"/>
        <v/>
      </c>
      <c r="AC299" s="198" t="str">
        <f t="shared" si="87"/>
        <v/>
      </c>
      <c r="AE299" s="198" t="str">
        <f t="shared" si="88"/>
        <v/>
      </c>
      <c r="AG299" s="198" t="str">
        <f t="shared" si="89"/>
        <v/>
      </c>
      <c r="AI299" s="198" t="str">
        <f t="shared" si="90"/>
        <v/>
      </c>
      <c r="AK299" s="198" t="str">
        <f t="shared" si="91"/>
        <v/>
      </c>
      <c r="AM299" s="198" t="str">
        <f t="shared" si="92"/>
        <v/>
      </c>
      <c r="AO299" s="198" t="str">
        <f t="shared" si="93"/>
        <v/>
      </c>
      <c r="AQ299" s="198" t="str">
        <f t="shared" si="94"/>
        <v/>
      </c>
    </row>
    <row r="300" spans="5:43">
      <c r="E300" s="198" t="str">
        <f t="shared" si="76"/>
        <v/>
      </c>
      <c r="G300" s="198" t="str">
        <f t="shared" si="76"/>
        <v/>
      </c>
      <c r="I300" s="198" t="str">
        <f t="shared" si="77"/>
        <v/>
      </c>
      <c r="K300" s="198" t="str">
        <f t="shared" si="78"/>
        <v/>
      </c>
      <c r="M300" s="198" t="str">
        <f t="shared" si="79"/>
        <v/>
      </c>
      <c r="O300" s="198" t="str">
        <f t="shared" si="80"/>
        <v/>
      </c>
      <c r="Q300" s="198" t="str">
        <f t="shared" si="81"/>
        <v/>
      </c>
      <c r="S300" s="198" t="str">
        <f t="shared" si="82"/>
        <v/>
      </c>
      <c r="U300" s="198" t="str">
        <f t="shared" si="83"/>
        <v/>
      </c>
      <c r="W300" s="198" t="str">
        <f t="shared" si="84"/>
        <v/>
      </c>
      <c r="Y300" s="198" t="str">
        <f t="shared" si="85"/>
        <v/>
      </c>
      <c r="AA300" s="198" t="str">
        <f t="shared" si="86"/>
        <v/>
      </c>
      <c r="AC300" s="198" t="str">
        <f t="shared" si="87"/>
        <v/>
      </c>
      <c r="AE300" s="198" t="str">
        <f t="shared" si="88"/>
        <v/>
      </c>
      <c r="AG300" s="198" t="str">
        <f t="shared" si="89"/>
        <v/>
      </c>
      <c r="AI300" s="198" t="str">
        <f t="shared" si="90"/>
        <v/>
      </c>
      <c r="AK300" s="198" t="str">
        <f t="shared" si="91"/>
        <v/>
      </c>
      <c r="AM300" s="198" t="str">
        <f t="shared" si="92"/>
        <v/>
      </c>
      <c r="AO300" s="198" t="str">
        <f t="shared" si="93"/>
        <v/>
      </c>
      <c r="AQ300" s="198" t="str">
        <f t="shared" si="94"/>
        <v/>
      </c>
    </row>
  </sheetData>
  <mergeCells count="1">
    <mergeCell ref="A3:A6"/>
  </mergeCells>
  <conditionalFormatting sqref="E12:E300">
    <cfRule type="expression" dxfId="1" priority="2">
      <formula>AND(LEN(E12)&gt;0,OR(E12&lt;E$2,E12&gt;E$3))</formula>
    </cfRule>
  </conditionalFormatting>
  <conditionalFormatting sqref="G12:G300 I12:I300 K12:K300 M12:M300 O12:O300 Q12:Q300 S12:S300 U12:U300 W12:W300 Y12:Y300 AA12:AA300 AC12:AC300 AE12:AE300 AG12:AG300 AI12:AI300 AK12:AK300 AM12:AM300 AO12:AO300 AQ12:AQ300">
    <cfRule type="expression" dxfId="0" priority="1">
      <formula>AND(LEN(G12)&gt;0,OR(G12&lt;G$2,G12&gt;G$3))</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53B8A-EDFA-4597-B8C7-72B7FED17677}">
  <sheetPr>
    <tabColor rgb="FF92D050"/>
  </sheetPr>
  <dimension ref="A1:AI40"/>
  <sheetViews>
    <sheetView topLeftCell="I1" zoomScaleNormal="100" workbookViewId="0">
      <selection activeCell="Y17" sqref="Y17"/>
    </sheetView>
  </sheetViews>
  <sheetFormatPr defaultColWidth="8.7109375" defaultRowHeight="15.75"/>
  <cols>
    <col min="1" max="1" width="8.7109375" style="697"/>
    <col min="2" max="2" width="30.85546875" style="697" customWidth="1"/>
    <col min="3" max="3" width="15.42578125" style="697" customWidth="1"/>
    <col min="4" max="4" width="10.85546875" style="697" bestFit="1" customWidth="1"/>
    <col min="5" max="5" width="13.28515625" style="697" bestFit="1" customWidth="1"/>
    <col min="6" max="6" width="12.140625" style="697" hidden="1" customWidth="1"/>
    <col min="7" max="7" width="1.7109375" style="697" customWidth="1"/>
    <col min="8" max="8" width="10.42578125" style="697" customWidth="1"/>
    <col min="9" max="9" width="30.85546875" style="697" customWidth="1"/>
    <col min="10" max="10" width="15.42578125" style="697" customWidth="1"/>
    <col min="11" max="11" width="10.85546875" style="697" bestFit="1" customWidth="1"/>
    <col min="12" max="12" width="13.28515625" style="697" bestFit="1" customWidth="1"/>
    <col min="13" max="13" width="9.5703125" style="697" hidden="1" customWidth="1"/>
    <col min="14" max="14" width="12" style="697" hidden="1" customWidth="1"/>
    <col min="15" max="15" width="9.140625" style="697" hidden="1" customWidth="1"/>
    <col min="16" max="16" width="9.140625" style="697" customWidth="1"/>
    <col min="17" max="17" width="26.140625" style="697" customWidth="1"/>
    <col min="18" max="18" width="17.28515625" style="697" customWidth="1"/>
    <col min="19" max="19" width="20.85546875" style="697" customWidth="1"/>
    <col min="20" max="20" width="13.42578125" style="697" customWidth="1"/>
    <col min="21" max="21" width="8.7109375" style="697"/>
    <col min="22" max="22" width="37.7109375" style="697" customWidth="1"/>
    <col min="23" max="23" width="11" style="697" bestFit="1" customWidth="1"/>
    <col min="24" max="25" width="8.85546875" style="697" bestFit="1" customWidth="1"/>
    <col min="26" max="26" width="54" style="697" customWidth="1"/>
    <col min="27" max="30" width="8.85546875" style="697" bestFit="1" customWidth="1"/>
    <col min="31" max="31" width="19.140625" style="697" customWidth="1"/>
    <col min="32" max="16384" width="8.7109375" style="697"/>
  </cols>
  <sheetData>
    <row r="1" spans="2:31" ht="16.5" thickBot="1">
      <c r="B1" s="1089"/>
      <c r="C1" s="1089"/>
      <c r="D1" s="1089"/>
      <c r="E1" s="1089"/>
      <c r="F1" s="696"/>
      <c r="G1" s="696"/>
      <c r="I1" s="1089"/>
      <c r="J1" s="1089"/>
      <c r="K1" s="1089"/>
      <c r="L1" s="1089"/>
      <c r="M1" s="696"/>
      <c r="N1" s="696"/>
    </row>
    <row r="2" spans="2:31" ht="48" thickBot="1">
      <c r="B2" s="1094" t="s">
        <v>525</v>
      </c>
      <c r="C2" s="1095"/>
      <c r="D2" s="1095"/>
      <c r="E2" s="1096"/>
      <c r="F2" s="698" t="s">
        <v>298</v>
      </c>
      <c r="G2" s="699"/>
      <c r="I2" s="1094" t="s">
        <v>608</v>
      </c>
      <c r="J2" s="1095"/>
      <c r="K2" s="1095"/>
      <c r="L2" s="1096"/>
      <c r="M2" s="698" t="s">
        <v>298</v>
      </c>
      <c r="N2" s="699"/>
      <c r="Q2" s="1094" t="s">
        <v>630</v>
      </c>
      <c r="R2" s="1095"/>
      <c r="S2" s="1095"/>
      <c r="T2" s="1096"/>
    </row>
    <row r="3" spans="2:31" ht="15" customHeight="1" thickBot="1">
      <c r="B3" s="700"/>
      <c r="C3" s="701" t="s">
        <v>299</v>
      </c>
      <c r="D3" s="702" t="s">
        <v>300</v>
      </c>
      <c r="E3" s="703" t="s">
        <v>301</v>
      </c>
      <c r="F3" s="704"/>
      <c r="G3" s="705"/>
      <c r="I3" s="700"/>
      <c r="J3" s="701" t="s">
        <v>299</v>
      </c>
      <c r="K3" s="702" t="s">
        <v>300</v>
      </c>
      <c r="L3" s="703" t="s">
        <v>301</v>
      </c>
      <c r="M3" s="704"/>
      <c r="N3" s="705"/>
      <c r="Q3" s="700"/>
      <c r="R3" s="701" t="s">
        <v>299</v>
      </c>
      <c r="S3" s="702" t="s">
        <v>300</v>
      </c>
      <c r="T3" s="703" t="s">
        <v>301</v>
      </c>
      <c r="V3" s="706" t="s">
        <v>595</v>
      </c>
      <c r="W3" s="707"/>
      <c r="X3" s="707"/>
      <c r="Y3" s="707"/>
      <c r="Z3" s="708"/>
      <c r="AA3" s="709"/>
      <c r="AB3" s="709"/>
      <c r="AC3" s="709"/>
      <c r="AD3" s="709"/>
      <c r="AE3" s="709"/>
    </row>
    <row r="4" spans="2:31" ht="15" customHeight="1">
      <c r="B4" s="710" t="str">
        <f>V6</f>
        <v>Program Director</v>
      </c>
      <c r="C4" s="711">
        <f>W6</f>
        <v>79415.232000000018</v>
      </c>
      <c r="D4" s="712">
        <f>AVERAGE($X$33:$AE$33)*(SUM(D5:D7))</f>
        <v>0.147820207255555</v>
      </c>
      <c r="E4" s="713">
        <f t="shared" ref="E4:E9" si="0">C4*D4</f>
        <v>11739.176053487987</v>
      </c>
      <c r="F4" s="714">
        <f t="shared" ref="F4:F9" si="1">D4*40</f>
        <v>5.9128082902222001</v>
      </c>
      <c r="G4" s="715"/>
      <c r="I4" s="710" t="str">
        <f t="shared" ref="I4" si="2">B4</f>
        <v>Program Director</v>
      </c>
      <c r="J4" s="711">
        <f>W6</f>
        <v>79415.232000000018</v>
      </c>
      <c r="K4" s="712">
        <f>AVERAGE($X$33:$AE$33)*(SUM(K5:K6))</f>
        <v>0.147820207255555</v>
      </c>
      <c r="L4" s="713">
        <f t="shared" ref="L4" si="3">J4*K4</f>
        <v>11739.176053487987</v>
      </c>
      <c r="M4" s="714">
        <f t="shared" ref="M4" si="4">K4*40</f>
        <v>5.9128082902222001</v>
      </c>
      <c r="N4" s="715"/>
      <c r="Q4" s="710" t="s">
        <v>303</v>
      </c>
      <c r="R4" s="711">
        <f>W6</f>
        <v>79415.232000000018</v>
      </c>
      <c r="S4" s="712">
        <v>0.24</v>
      </c>
      <c r="T4" s="713">
        <f t="shared" ref="T4:T7" si="5">R4*S4</f>
        <v>19059.655680000003</v>
      </c>
      <c r="V4" s="1083" t="s">
        <v>109</v>
      </c>
      <c r="W4" s="1085" t="s">
        <v>593</v>
      </c>
      <c r="X4" s="1083" t="s">
        <v>594</v>
      </c>
      <c r="Y4" s="1084"/>
      <c r="Z4" s="1085"/>
      <c r="AA4" s="743"/>
      <c r="AB4" s="743"/>
      <c r="AC4" s="743"/>
      <c r="AD4" s="743"/>
      <c r="AE4" s="743"/>
    </row>
    <row r="5" spans="2:31" ht="16.5" thickBot="1">
      <c r="B5" s="710" t="s">
        <v>625</v>
      </c>
      <c r="C5" s="711">
        <f>W8</f>
        <v>64330.864000000001</v>
      </c>
      <c r="D5" s="712">
        <v>0.1</v>
      </c>
      <c r="E5" s="713">
        <f t="shared" si="0"/>
        <v>6433.0864000000001</v>
      </c>
      <c r="F5" s="714">
        <f t="shared" si="1"/>
        <v>4</v>
      </c>
      <c r="G5" s="715"/>
      <c r="I5" s="710" t="str">
        <f>B6</f>
        <v>Direct Care III</v>
      </c>
      <c r="J5" s="711">
        <f>W10</f>
        <v>53206.566400000003</v>
      </c>
      <c r="K5" s="712">
        <v>0.75</v>
      </c>
      <c r="L5" s="713">
        <f>J5*K5</f>
        <v>39904.924800000001</v>
      </c>
      <c r="M5" s="714" t="e">
        <f>#REF!*40</f>
        <v>#REF!</v>
      </c>
      <c r="N5" s="715"/>
      <c r="Q5" s="710" t="s">
        <v>460</v>
      </c>
      <c r="R5" s="711">
        <f>W7</f>
        <v>101383.77600000001</v>
      </c>
      <c r="S5" s="712">
        <v>0.5</v>
      </c>
      <c r="T5" s="713">
        <f t="shared" si="5"/>
        <v>50691.888000000006</v>
      </c>
      <c r="V5" s="1086"/>
      <c r="W5" s="1088"/>
      <c r="X5" s="1086"/>
      <c r="Y5" s="1087"/>
      <c r="Z5" s="1088"/>
    </row>
    <row r="6" spans="2:31">
      <c r="B6" s="710" t="s">
        <v>458</v>
      </c>
      <c r="C6" s="711">
        <f>W10</f>
        <v>53206.566400000003</v>
      </c>
      <c r="D6" s="712">
        <v>0.8</v>
      </c>
      <c r="E6" s="713">
        <f t="shared" si="0"/>
        <v>42565.253120000008</v>
      </c>
      <c r="F6" s="714">
        <f t="shared" si="1"/>
        <v>32</v>
      </c>
      <c r="G6" s="715"/>
      <c r="I6" s="710" t="str">
        <f>B7</f>
        <v>Case Manager</v>
      </c>
      <c r="J6" s="711">
        <f>W9</f>
        <v>64330.864000000001</v>
      </c>
      <c r="K6" s="712">
        <v>0.25</v>
      </c>
      <c r="L6" s="713">
        <f>J6*K6</f>
        <v>16082.716</v>
      </c>
      <c r="M6" s="714">
        <f>K5*40</f>
        <v>30</v>
      </c>
      <c r="N6" s="715"/>
      <c r="Q6" s="710" t="s">
        <v>360</v>
      </c>
      <c r="R6" s="711">
        <f>W9</f>
        <v>64330.864000000001</v>
      </c>
      <c r="S6" s="712">
        <v>0.7</v>
      </c>
      <c r="T6" s="713">
        <f t="shared" si="5"/>
        <v>45031.604800000001</v>
      </c>
      <c r="V6" s="716" t="s">
        <v>303</v>
      </c>
      <c r="W6" s="1039">
        <f>'M2022 BLS SALARY CHART (53_PCT)'!C22</f>
        <v>79415.232000000018</v>
      </c>
      <c r="X6" s="697" t="s">
        <v>723</v>
      </c>
      <c r="Z6" s="719"/>
    </row>
    <row r="7" spans="2:31">
      <c r="B7" s="710" t="s">
        <v>360</v>
      </c>
      <c r="C7" s="711">
        <f>W9</f>
        <v>64330.864000000001</v>
      </c>
      <c r="D7" s="712">
        <v>0.1</v>
      </c>
      <c r="E7" s="713">
        <f t="shared" si="0"/>
        <v>6433.0864000000001</v>
      </c>
      <c r="F7" s="714">
        <f t="shared" si="1"/>
        <v>4</v>
      </c>
      <c r="G7" s="715"/>
      <c r="I7" s="710" t="str">
        <f>B8</f>
        <v>Clerical Support</v>
      </c>
      <c r="J7" s="711">
        <f>W11</f>
        <v>41600</v>
      </c>
      <c r="K7" s="712">
        <v>0.08</v>
      </c>
      <c r="L7" s="713">
        <f>J7*K7</f>
        <v>3328</v>
      </c>
      <c r="M7" s="714">
        <f>K6*40</f>
        <v>10</v>
      </c>
      <c r="N7" s="715"/>
      <c r="Q7" s="710" t="s">
        <v>458</v>
      </c>
      <c r="R7" s="711">
        <f>W10</f>
        <v>53206.566400000003</v>
      </c>
      <c r="S7" s="712">
        <v>0.4</v>
      </c>
      <c r="T7" s="713">
        <f t="shared" si="5"/>
        <v>21282.626560000004</v>
      </c>
      <c r="V7" s="718" t="s">
        <v>460</v>
      </c>
      <c r="W7" s="1040">
        <f>'M2022 BLS SALARY CHART (53_PCT)'!C28</f>
        <v>101383.77600000001</v>
      </c>
      <c r="X7" s="697" t="s">
        <v>723</v>
      </c>
      <c r="Z7" s="719"/>
    </row>
    <row r="8" spans="2:31">
      <c r="B8" s="710" t="str">
        <f>V11</f>
        <v>Clerical Support</v>
      </c>
      <c r="C8" s="711">
        <f>W11</f>
        <v>41600</v>
      </c>
      <c r="D8" s="712">
        <v>0.08</v>
      </c>
      <c r="E8" s="713">
        <f t="shared" si="0"/>
        <v>3328</v>
      </c>
      <c r="F8" s="714">
        <f t="shared" si="1"/>
        <v>3.2</v>
      </c>
      <c r="G8" s="715"/>
      <c r="I8" s="710" t="str">
        <f>B9</f>
        <v>LPN (CQI)</v>
      </c>
      <c r="J8" s="711">
        <f>W12</f>
        <v>65676.416000000012</v>
      </c>
      <c r="K8" s="712">
        <f>$W$35*(SUM(K5:K6))</f>
        <v>0.125</v>
      </c>
      <c r="L8" s="713">
        <f>J8*K8</f>
        <v>8209.5520000000015</v>
      </c>
      <c r="M8" s="714">
        <f>K7*40</f>
        <v>3.2</v>
      </c>
      <c r="N8" s="715"/>
      <c r="Q8" s="710" t="s">
        <v>521</v>
      </c>
      <c r="R8" s="711">
        <f>W12</f>
        <v>65676.416000000012</v>
      </c>
      <c r="S8" s="712">
        <f>'Youth Support'!Q28*(SUM(S5:S7))</f>
        <v>0.2</v>
      </c>
      <c r="T8" s="713">
        <f>R8*S8</f>
        <v>13135.283200000003</v>
      </c>
      <c r="V8" s="718" t="s">
        <v>319</v>
      </c>
      <c r="W8" s="1040">
        <f>'M2022 BLS SALARY CHART (53_PCT)'!C14</f>
        <v>64330.864000000001</v>
      </c>
      <c r="X8" s="697" t="s">
        <v>723</v>
      </c>
      <c r="Z8" s="719"/>
    </row>
    <row r="9" spans="2:31">
      <c r="B9" s="710" t="str">
        <f>Q8</f>
        <v>LPN (CQI)</v>
      </c>
      <c r="C9" s="711">
        <f>W12</f>
        <v>65676.416000000012</v>
      </c>
      <c r="D9" s="712">
        <f>$W$35*(SUM(D5:D7))</f>
        <v>0.125</v>
      </c>
      <c r="E9" s="713">
        <f t="shared" si="0"/>
        <v>8209.5520000000015</v>
      </c>
      <c r="F9" s="714">
        <f t="shared" si="1"/>
        <v>5</v>
      </c>
      <c r="G9" s="715"/>
      <c r="I9" s="720"/>
      <c r="L9" s="719"/>
      <c r="M9" s="714">
        <f>K8*40</f>
        <v>5</v>
      </c>
      <c r="N9" s="715"/>
      <c r="Q9" s="721" t="str">
        <f>V11</f>
        <v>Clerical Support</v>
      </c>
      <c r="R9" s="722">
        <f>W11</f>
        <v>41600</v>
      </c>
      <c r="S9" s="712">
        <v>0.12</v>
      </c>
      <c r="T9" s="723">
        <f>S9*R9</f>
        <v>4992</v>
      </c>
      <c r="V9" s="718" t="s">
        <v>321</v>
      </c>
      <c r="W9" s="1040">
        <f>'M2022 BLS SALARY CHART (53_PCT)'!C14</f>
        <v>64330.864000000001</v>
      </c>
      <c r="X9" s="697" t="s">
        <v>723</v>
      </c>
      <c r="Z9" s="719"/>
    </row>
    <row r="10" spans="2:31">
      <c r="B10" s="721"/>
      <c r="C10" s="724"/>
      <c r="D10" s="712"/>
      <c r="E10" s="713"/>
      <c r="F10" s="725"/>
      <c r="G10" s="726"/>
      <c r="I10" s="721"/>
      <c r="J10" s="724"/>
      <c r="K10" s="712"/>
      <c r="L10" s="713"/>
      <c r="M10" s="725"/>
      <c r="N10" s="726"/>
      <c r="Q10" s="721"/>
      <c r="R10" s="724"/>
      <c r="S10" s="712"/>
      <c r="T10" s="713"/>
      <c r="V10" s="727" t="s">
        <v>458</v>
      </c>
      <c r="W10" s="1040">
        <f>'M2022 BLS SALARY CHART (53_PCT)'!C8</f>
        <v>53206.566400000003</v>
      </c>
      <c r="X10" s="697" t="s">
        <v>723</v>
      </c>
      <c r="Z10" s="719"/>
    </row>
    <row r="11" spans="2:31">
      <c r="B11" s="721"/>
      <c r="C11" s="724"/>
      <c r="D11" s="712"/>
      <c r="E11" s="713"/>
      <c r="F11" s="725"/>
      <c r="G11" s="726"/>
      <c r="I11" s="721"/>
      <c r="J11" s="724"/>
      <c r="K11" s="712"/>
      <c r="L11" s="713"/>
      <c r="M11" s="725"/>
      <c r="N11" s="726"/>
      <c r="Q11" s="721"/>
      <c r="R11" s="724"/>
      <c r="S11" s="712"/>
      <c r="T11" s="713"/>
      <c r="V11" s="727" t="s">
        <v>620</v>
      </c>
      <c r="W11" s="1040">
        <f>'M2022 BLS SALARY CHART (53_PCT)'!C6</f>
        <v>41600</v>
      </c>
      <c r="X11" s="697" t="s">
        <v>723</v>
      </c>
      <c r="Z11" s="719"/>
    </row>
    <row r="12" spans="2:31" ht="16.5" thickBot="1">
      <c r="B12" s="728" t="s">
        <v>326</v>
      </c>
      <c r="C12" s="729"/>
      <c r="D12" s="730">
        <f>SUM(D4:D9)</f>
        <v>1.3528202072555553</v>
      </c>
      <c r="E12" s="731">
        <f>SUM(E4:E9)</f>
        <v>78708.153973487992</v>
      </c>
      <c r="F12" s="732"/>
      <c r="G12" s="733"/>
      <c r="I12" s="728" t="s">
        <v>326</v>
      </c>
      <c r="J12" s="729"/>
      <c r="K12" s="730">
        <f>SUM(K4:K8)</f>
        <v>1.3528202072555551</v>
      </c>
      <c r="L12" s="731">
        <f>SUM(L4:L8)</f>
        <v>79264.368853487977</v>
      </c>
      <c r="M12" s="732"/>
      <c r="N12" s="733"/>
      <c r="Q12" s="728" t="s">
        <v>326</v>
      </c>
      <c r="R12" s="729"/>
      <c r="S12" s="730">
        <f>SUM(S4:S9)</f>
        <v>2.16</v>
      </c>
      <c r="T12" s="731">
        <f>SUM(T4:T9)</f>
        <v>154193.05824000001</v>
      </c>
      <c r="V12" s="734" t="s">
        <v>465</v>
      </c>
      <c r="W12" s="911">
        <f>'M2022 BLS SALARY CHART (53_PCT)'!C16</f>
        <v>65676.416000000012</v>
      </c>
      <c r="X12" s="697" t="s">
        <v>723</v>
      </c>
      <c r="Y12" s="735"/>
      <c r="Z12" s="736"/>
    </row>
    <row r="13" spans="2:31" ht="16.5" thickBot="1">
      <c r="B13" s="737"/>
      <c r="C13" s="738"/>
      <c r="D13" s="739"/>
      <c r="E13" s="740"/>
      <c r="F13" s="732"/>
      <c r="G13" s="733"/>
      <c r="I13" s="737"/>
      <c r="J13" s="738"/>
      <c r="K13" s="739"/>
      <c r="L13" s="740"/>
      <c r="M13" s="732"/>
      <c r="N13" s="733"/>
      <c r="Q13" s="737"/>
      <c r="R13" s="738"/>
      <c r="S13" s="739"/>
      <c r="T13" s="740"/>
      <c r="V13" s="1097" t="s">
        <v>328</v>
      </c>
      <c r="W13" s="1098"/>
      <c r="X13" s="741"/>
      <c r="Y13" s="741"/>
      <c r="Z13" s="742"/>
      <c r="AA13" s="743"/>
      <c r="AB13" s="743"/>
      <c r="AC13" s="743"/>
      <c r="AD13" s="743"/>
      <c r="AE13" s="743"/>
    </row>
    <row r="14" spans="2:31">
      <c r="B14" s="737" t="s">
        <v>328</v>
      </c>
      <c r="C14" s="738"/>
      <c r="D14" s="744"/>
      <c r="E14" s="740"/>
      <c r="F14" s="745"/>
      <c r="G14" s="746"/>
      <c r="I14" s="737" t="s">
        <v>328</v>
      </c>
      <c r="J14" s="738"/>
      <c r="K14" s="744"/>
      <c r="L14" s="740"/>
      <c r="M14" s="745"/>
      <c r="N14" s="746"/>
      <c r="Q14" s="737" t="s">
        <v>328</v>
      </c>
      <c r="R14" s="738"/>
      <c r="S14" s="744"/>
      <c r="T14" s="740"/>
      <c r="V14" s="747" t="s">
        <v>209</v>
      </c>
      <c r="W14" s="748">
        <v>5963.9694954316801</v>
      </c>
      <c r="X14" s="749" t="s">
        <v>622</v>
      </c>
      <c r="Y14" s="750"/>
      <c r="Z14" s="751"/>
      <c r="AA14" s="743"/>
      <c r="AB14" s="743"/>
      <c r="AC14" s="743"/>
      <c r="AD14" s="743"/>
      <c r="AE14" s="743"/>
    </row>
    <row r="15" spans="2:31">
      <c r="B15" s="752" t="s">
        <v>329</v>
      </c>
      <c r="C15" s="753">
        <f>$W$22</f>
        <v>0.27379999999999999</v>
      </c>
      <c r="D15" s="754"/>
      <c r="E15" s="755">
        <f>C15*E12</f>
        <v>21550.292557941011</v>
      </c>
      <c r="F15" s="756"/>
      <c r="G15" s="757"/>
      <c r="I15" s="752" t="s">
        <v>329</v>
      </c>
      <c r="J15" s="753">
        <f>$W$22</f>
        <v>0.27379999999999999</v>
      </c>
      <c r="K15" s="754"/>
      <c r="L15" s="755">
        <f>J15*L12</f>
        <v>21702.584192085007</v>
      </c>
      <c r="M15" s="756"/>
      <c r="N15" s="757"/>
      <c r="Q15" s="752" t="s">
        <v>329</v>
      </c>
      <c r="R15" s="753">
        <f>W22</f>
        <v>0.27379999999999999</v>
      </c>
      <c r="S15" s="754"/>
      <c r="T15" s="755">
        <f>R15*T12</f>
        <v>42218.059346112001</v>
      </c>
      <c r="V15" s="752" t="s">
        <v>214</v>
      </c>
      <c r="W15" s="758">
        <f>159.619730865091*3</f>
        <v>478.85919259527293</v>
      </c>
      <c r="X15" s="749" t="s">
        <v>622</v>
      </c>
      <c r="Y15" s="743"/>
      <c r="Z15" s="759"/>
      <c r="AA15" s="743"/>
      <c r="AB15" s="743"/>
      <c r="AC15" s="743"/>
      <c r="AD15" s="743"/>
      <c r="AE15" s="743"/>
    </row>
    <row r="16" spans="2:31">
      <c r="B16" s="760" t="s">
        <v>331</v>
      </c>
      <c r="C16" s="761"/>
      <c r="D16" s="762"/>
      <c r="E16" s="731">
        <f>E12+E15</f>
        <v>100258.446531429</v>
      </c>
      <c r="F16" s="745"/>
      <c r="G16" s="746"/>
      <c r="I16" s="760" t="s">
        <v>331</v>
      </c>
      <c r="J16" s="761"/>
      <c r="K16" s="762"/>
      <c r="L16" s="731">
        <f>L12+L15</f>
        <v>100966.95304557298</v>
      </c>
      <c r="M16" s="745"/>
      <c r="N16" s="746"/>
      <c r="Q16" s="760" t="s">
        <v>331</v>
      </c>
      <c r="R16" s="761"/>
      <c r="S16" s="762"/>
      <c r="T16" s="731">
        <f>T12+T15</f>
        <v>196411.117586112</v>
      </c>
      <c r="V16" s="752" t="s">
        <v>215</v>
      </c>
      <c r="W16" s="758">
        <f>1056.87839323969*(1.333)*1.1</f>
        <v>1549.7007880073575</v>
      </c>
      <c r="X16" s="749" t="s">
        <v>622</v>
      </c>
      <c r="Y16" s="743"/>
      <c r="Z16" s="759"/>
      <c r="AA16" s="743"/>
      <c r="AB16" s="743"/>
      <c r="AC16" s="743"/>
      <c r="AD16" s="743"/>
      <c r="AE16" s="743"/>
    </row>
    <row r="17" spans="2:31">
      <c r="B17" s="752" t="s">
        <v>209</v>
      </c>
      <c r="C17" s="763"/>
      <c r="D17" s="764">
        <f>$W$14</f>
        <v>5963.9694954316801</v>
      </c>
      <c r="E17" s="755">
        <f t="shared" ref="E17:E23" si="6">D17*$D$12</f>
        <v>8068.1784488756948</v>
      </c>
      <c r="F17" s="765"/>
      <c r="G17" s="766"/>
      <c r="I17" s="752" t="s">
        <v>209</v>
      </c>
      <c r="J17" s="763"/>
      <c r="K17" s="764">
        <f>$W$14</f>
        <v>5963.9694954316801</v>
      </c>
      <c r="L17" s="755">
        <f t="shared" ref="L17:L23" si="7">K17*$D$12</f>
        <v>8068.1784488756948</v>
      </c>
      <c r="M17" s="765"/>
      <c r="N17" s="766"/>
      <c r="Q17" s="752" t="s">
        <v>209</v>
      </c>
      <c r="R17" s="763"/>
      <c r="S17" s="764">
        <f>W14</f>
        <v>5963.9694954316801</v>
      </c>
      <c r="T17" s="755">
        <f t="shared" ref="T17:T23" si="8">S17*S$12</f>
        <v>12882.17411013243</v>
      </c>
      <c r="V17" s="752" t="s">
        <v>216</v>
      </c>
      <c r="W17" s="758">
        <f>659.469710273557*1.333</f>
        <v>879.07312379465145</v>
      </c>
      <c r="X17" s="749" t="s">
        <v>622</v>
      </c>
      <c r="Y17" s="743"/>
      <c r="Z17" s="759"/>
      <c r="AA17" s="743"/>
      <c r="AB17" s="743"/>
      <c r="AC17" s="743"/>
      <c r="AD17" s="743"/>
      <c r="AE17" s="743"/>
    </row>
    <row r="18" spans="2:31">
      <c r="B18" s="752" t="s">
        <v>214</v>
      </c>
      <c r="C18" s="763"/>
      <c r="D18" s="764">
        <f>$W$15</f>
        <v>478.85919259527293</v>
      </c>
      <c r="E18" s="755">
        <f t="shared" si="6"/>
        <v>647.81039217296495</v>
      </c>
      <c r="F18" s="766" t="s">
        <v>467</v>
      </c>
      <c r="G18" s="766"/>
      <c r="I18" s="752" t="s">
        <v>214</v>
      </c>
      <c r="J18" s="763"/>
      <c r="K18" s="764">
        <f>$W$15</f>
        <v>478.85919259527293</v>
      </c>
      <c r="L18" s="755">
        <f t="shared" si="7"/>
        <v>647.81039217296495</v>
      </c>
      <c r="M18" s="766" t="s">
        <v>467</v>
      </c>
      <c r="N18" s="766"/>
      <c r="Q18" s="752" t="s">
        <v>214</v>
      </c>
      <c r="R18" s="763"/>
      <c r="S18" s="764">
        <f t="shared" ref="S18:S23" si="9">W15</f>
        <v>478.85919259527293</v>
      </c>
      <c r="T18" s="755">
        <f t="shared" si="8"/>
        <v>1034.3358560057895</v>
      </c>
      <c r="V18" s="752" t="s">
        <v>217</v>
      </c>
      <c r="W18" s="758">
        <f>474.110604206975*1.333*1.1</f>
        <v>695.1883789486875</v>
      </c>
      <c r="X18" s="749" t="s">
        <v>622</v>
      </c>
      <c r="Y18" s="743"/>
      <c r="Z18" s="759"/>
      <c r="AA18" s="743"/>
      <c r="AB18" s="743"/>
      <c r="AC18" s="743"/>
      <c r="AD18" s="743"/>
      <c r="AE18" s="743"/>
    </row>
    <row r="19" spans="2:31">
      <c r="B19" s="752" t="s">
        <v>215</v>
      </c>
      <c r="C19" s="763"/>
      <c r="D19" s="764">
        <f>$W$16</f>
        <v>1549.7007880073575</v>
      </c>
      <c r="E19" s="755">
        <f t="shared" si="6"/>
        <v>2096.4665412162108</v>
      </c>
      <c r="F19" s="766">
        <f>(E19+E21)/SUM(D5:D7)</f>
        <v>3036.9314281072275</v>
      </c>
      <c r="G19" s="766"/>
      <c r="I19" s="752" t="s">
        <v>215</v>
      </c>
      <c r="J19" s="763"/>
      <c r="K19" s="764">
        <f>$W$16</f>
        <v>1549.7007880073575</v>
      </c>
      <c r="L19" s="755">
        <f t="shared" si="7"/>
        <v>2096.4665412162108</v>
      </c>
      <c r="M19" s="766">
        <f>(L19+L21)/SUM(K5:K6)</f>
        <v>3036.9314281072275</v>
      </c>
      <c r="N19" s="766"/>
      <c r="Q19" s="752" t="s">
        <v>215</v>
      </c>
      <c r="R19" s="763"/>
      <c r="S19" s="764">
        <f t="shared" si="9"/>
        <v>1549.7007880073575</v>
      </c>
      <c r="T19" s="755">
        <f t="shared" si="8"/>
        <v>3347.3537020958925</v>
      </c>
      <c r="V19" s="752" t="s">
        <v>221</v>
      </c>
      <c r="W19" s="758">
        <f>1733.93430360871*2</f>
        <v>3467.86860721742</v>
      </c>
      <c r="X19" s="749" t="s">
        <v>622</v>
      </c>
      <c r="Y19" s="743"/>
      <c r="Z19" s="759"/>
      <c r="AA19" s="743"/>
      <c r="AB19" s="743"/>
      <c r="AC19" s="743"/>
      <c r="AD19" s="743"/>
      <c r="AE19" s="743"/>
    </row>
    <row r="20" spans="2:31">
      <c r="B20" s="752" t="s">
        <v>216</v>
      </c>
      <c r="C20" s="763"/>
      <c r="D20" s="764">
        <f>$W$17</f>
        <v>879.07312379465145</v>
      </c>
      <c r="E20" s="755">
        <f t="shared" si="6"/>
        <v>1189.2278855246689</v>
      </c>
      <c r="F20" s="765"/>
      <c r="G20" s="766"/>
      <c r="I20" s="752" t="s">
        <v>216</v>
      </c>
      <c r="J20" s="763"/>
      <c r="K20" s="764">
        <f>$W$17</f>
        <v>879.07312379465145</v>
      </c>
      <c r="L20" s="755">
        <f t="shared" si="7"/>
        <v>1189.2278855246689</v>
      </c>
      <c r="M20" s="765"/>
      <c r="N20" s="766"/>
      <c r="Q20" s="752" t="s">
        <v>216</v>
      </c>
      <c r="R20" s="763"/>
      <c r="S20" s="764">
        <f t="shared" si="9"/>
        <v>879.07312379465145</v>
      </c>
      <c r="T20" s="755">
        <f t="shared" si="8"/>
        <v>1898.7979473964472</v>
      </c>
      <c r="V20" s="752" t="s">
        <v>225</v>
      </c>
      <c r="W20" s="758">
        <f>1347.35024363167*1.5</f>
        <v>2021.025365447505</v>
      </c>
      <c r="X20" s="749" t="s">
        <v>622</v>
      </c>
      <c r="Y20" s="743"/>
      <c r="Z20" s="759"/>
      <c r="AA20" s="743"/>
      <c r="AB20" s="743"/>
      <c r="AC20" s="743"/>
      <c r="AD20" s="743"/>
      <c r="AE20" s="743"/>
    </row>
    <row r="21" spans="2:31">
      <c r="B21" s="752" t="s">
        <v>217</v>
      </c>
      <c r="C21" s="763"/>
      <c r="D21" s="764">
        <f>$W$18</f>
        <v>695.1883789486875</v>
      </c>
      <c r="E21" s="755">
        <f t="shared" si="6"/>
        <v>940.46488689101693</v>
      </c>
      <c r="F21" s="765"/>
      <c r="G21" s="766"/>
      <c r="I21" s="752" t="s">
        <v>217</v>
      </c>
      <c r="J21" s="763"/>
      <c r="K21" s="764">
        <f>$W$18</f>
        <v>695.1883789486875</v>
      </c>
      <c r="L21" s="755">
        <f t="shared" si="7"/>
        <v>940.46488689101693</v>
      </c>
      <c r="M21" s="765"/>
      <c r="N21" s="766"/>
      <c r="Q21" s="752" t="s">
        <v>217</v>
      </c>
      <c r="R21" s="763"/>
      <c r="S21" s="764">
        <f t="shared" si="9"/>
        <v>695.1883789486875</v>
      </c>
      <c r="T21" s="755">
        <f t="shared" si="8"/>
        <v>1501.6068985291652</v>
      </c>
      <c r="V21" s="752"/>
      <c r="W21" s="758"/>
      <c r="X21" s="743"/>
      <c r="Y21" s="743"/>
      <c r="Z21" s="759"/>
      <c r="AA21" s="767"/>
      <c r="AB21" s="767"/>
      <c r="AC21" s="767"/>
      <c r="AD21" s="768"/>
      <c r="AE21" s="768"/>
    </row>
    <row r="22" spans="2:31">
      <c r="B22" s="752" t="s">
        <v>221</v>
      </c>
      <c r="C22" s="763"/>
      <c r="D22" s="764">
        <f>$W$19</f>
        <v>3467.86860721742</v>
      </c>
      <c r="E22" s="755">
        <f t="shared" si="6"/>
        <v>4691.4027279509037</v>
      </c>
      <c r="F22" s="765"/>
      <c r="G22" s="766"/>
      <c r="I22" s="752" t="s">
        <v>221</v>
      </c>
      <c r="J22" s="763"/>
      <c r="K22" s="764">
        <f>$W$19</f>
        <v>3467.86860721742</v>
      </c>
      <c r="L22" s="755">
        <f t="shared" si="7"/>
        <v>4691.4027279509037</v>
      </c>
      <c r="M22" s="765"/>
      <c r="N22" s="766"/>
      <c r="Q22" s="752" t="s">
        <v>221</v>
      </c>
      <c r="R22" s="763"/>
      <c r="S22" s="764">
        <f t="shared" si="9"/>
        <v>3467.86860721742</v>
      </c>
      <c r="T22" s="755">
        <f t="shared" si="8"/>
        <v>7490.5961915896278</v>
      </c>
      <c r="V22" s="752" t="s">
        <v>327</v>
      </c>
      <c r="W22" s="912">
        <f>'M2022 BLS SALARY CHART (53_PCT)'!C38</f>
        <v>0.27379999999999999</v>
      </c>
      <c r="X22" s="1041" t="s">
        <v>179</v>
      </c>
      <c r="Y22" s="767"/>
      <c r="Z22" s="769"/>
      <c r="AA22" s="767"/>
      <c r="AB22" s="767"/>
      <c r="AC22" s="767"/>
      <c r="AD22" s="768"/>
      <c r="AE22" s="768"/>
    </row>
    <row r="23" spans="2:31">
      <c r="B23" s="752" t="s">
        <v>225</v>
      </c>
      <c r="C23" s="763"/>
      <c r="D23" s="764">
        <f>$W$20</f>
        <v>2021.025365447505</v>
      </c>
      <c r="E23" s="755">
        <f t="shared" si="6"/>
        <v>2734.083953753428</v>
      </c>
      <c r="F23" s="765"/>
      <c r="G23" s="766"/>
      <c r="I23" s="752" t="s">
        <v>225</v>
      </c>
      <c r="J23" s="763"/>
      <c r="K23" s="764">
        <f>$W$20</f>
        <v>2021.025365447505</v>
      </c>
      <c r="L23" s="755">
        <f t="shared" si="7"/>
        <v>2734.083953753428</v>
      </c>
      <c r="M23" s="765"/>
      <c r="N23" s="766"/>
      <c r="Q23" s="752" t="s">
        <v>225</v>
      </c>
      <c r="R23" s="763"/>
      <c r="S23" s="764">
        <f t="shared" si="9"/>
        <v>2021.025365447505</v>
      </c>
      <c r="T23" s="755">
        <f t="shared" si="8"/>
        <v>4365.4147893666113</v>
      </c>
      <c r="V23" s="752" t="s">
        <v>178</v>
      </c>
      <c r="W23" s="912">
        <f>'M2022 BLS SALARY CHART (53_PCT)'!C41</f>
        <v>0.12</v>
      </c>
      <c r="X23" s="1041" t="s">
        <v>179</v>
      </c>
      <c r="Y23" s="767"/>
      <c r="Z23" s="769"/>
      <c r="AA23" s="743"/>
      <c r="AB23" s="743"/>
      <c r="AC23" s="743"/>
      <c r="AD23" s="743"/>
      <c r="AE23" s="743"/>
    </row>
    <row r="24" spans="2:31" ht="16.5" thickBot="1">
      <c r="B24" s="752"/>
      <c r="C24" s="763"/>
      <c r="D24" s="712"/>
      <c r="E24" s="740"/>
      <c r="F24" s="745"/>
      <c r="G24" s="746"/>
      <c r="I24" s="752"/>
      <c r="J24" s="763"/>
      <c r="K24" s="712"/>
      <c r="L24" s="740"/>
      <c r="Q24" s="752"/>
      <c r="R24" s="763"/>
      <c r="S24" s="712"/>
      <c r="T24" s="740"/>
      <c r="V24" s="906" t="s">
        <v>674</v>
      </c>
      <c r="W24" s="913">
        <f>'2023 FALL CAF'!CR29</f>
        <v>2.6565517099262824E-2</v>
      </c>
      <c r="X24" s="771" t="s">
        <v>713</v>
      </c>
      <c r="Y24" s="772"/>
      <c r="Z24" s="773"/>
    </row>
    <row r="25" spans="2:31" ht="16.5" thickBot="1">
      <c r="B25" s="752" t="s">
        <v>337</v>
      </c>
      <c r="C25" s="774"/>
      <c r="D25" s="712"/>
      <c r="E25" s="755">
        <f>SUM(E17:E24)</f>
        <v>20367.634836384888</v>
      </c>
      <c r="I25" s="752" t="s">
        <v>337</v>
      </c>
      <c r="J25" s="774"/>
      <c r="K25" s="712"/>
      <c r="L25" s="755">
        <f>SUM(L17:L24)</f>
        <v>20367.634836384888</v>
      </c>
      <c r="Q25" s="752" t="s">
        <v>337</v>
      </c>
      <c r="R25" s="774"/>
      <c r="S25" s="712"/>
      <c r="T25" s="755">
        <f>SUM(T17:T24)</f>
        <v>32520.279495115963</v>
      </c>
      <c r="X25" s="914" t="s">
        <v>307</v>
      </c>
      <c r="Y25" s="914" t="s">
        <v>308</v>
      </c>
      <c r="Z25" s="914" t="s">
        <v>309</v>
      </c>
      <c r="AA25" s="914" t="s">
        <v>310</v>
      </c>
      <c r="AB25" s="914" t="s">
        <v>311</v>
      </c>
      <c r="AC25" s="914" t="s">
        <v>312</v>
      </c>
      <c r="AD25" s="914" t="s">
        <v>313</v>
      </c>
      <c r="AE25" s="914" t="s">
        <v>314</v>
      </c>
    </row>
    <row r="26" spans="2:31">
      <c r="B26" s="760" t="s">
        <v>338</v>
      </c>
      <c r="C26" s="761"/>
      <c r="D26" s="762"/>
      <c r="E26" s="731">
        <f>E16+E25</f>
        <v>120626.08136781389</v>
      </c>
      <c r="I26" s="760" t="s">
        <v>338</v>
      </c>
      <c r="J26" s="761"/>
      <c r="K26" s="762"/>
      <c r="L26" s="731">
        <f>L16+L25</f>
        <v>121334.58788195788</v>
      </c>
      <c r="Q26" s="760" t="s">
        <v>338</v>
      </c>
      <c r="R26" s="761"/>
      <c r="S26" s="762"/>
      <c r="T26" s="731">
        <f>T16+T25</f>
        <v>228931.39708122797</v>
      </c>
      <c r="V26" s="716" t="s">
        <v>303</v>
      </c>
      <c r="W26" s="717"/>
      <c r="X26" s="815">
        <v>0.20793518578803963</v>
      </c>
      <c r="Y26" s="813">
        <v>0.20793518578803963</v>
      </c>
      <c r="Z26" s="813">
        <v>0.45454545454545453</v>
      </c>
      <c r="AA26" s="813">
        <v>0.17141009055627424</v>
      </c>
      <c r="AB26" s="813">
        <v>0.57834862385321095</v>
      </c>
      <c r="AC26" s="813">
        <v>0.69090909090909092</v>
      </c>
      <c r="AD26" s="813">
        <v>0.54186582691334406</v>
      </c>
      <c r="AE26" s="814">
        <v>0.56619472021660655</v>
      </c>
    </row>
    <row r="27" spans="2:31">
      <c r="B27" s="752" t="s">
        <v>178</v>
      </c>
      <c r="C27" s="774">
        <f>$W$23</f>
        <v>0.12</v>
      </c>
      <c r="D27" s="712"/>
      <c r="E27" s="755">
        <f>C27*E26</f>
        <v>14475.129764137668</v>
      </c>
      <c r="I27" s="752" t="s">
        <v>178</v>
      </c>
      <c r="J27" s="774">
        <f>$W$23</f>
        <v>0.12</v>
      </c>
      <c r="K27" s="712"/>
      <c r="L27" s="755">
        <f>J27*L26</f>
        <v>14560.150545834946</v>
      </c>
      <c r="Q27" s="752" t="s">
        <v>178</v>
      </c>
      <c r="R27" s="774">
        <f>W23</f>
        <v>0.12</v>
      </c>
      <c r="S27" s="712"/>
      <c r="T27" s="755">
        <f>R27*T26</f>
        <v>27471.767649747355</v>
      </c>
      <c r="V27" s="718" t="s">
        <v>319</v>
      </c>
      <c r="X27" s="818"/>
      <c r="Y27" s="816"/>
      <c r="Z27" s="816">
        <v>1.1357541478464965</v>
      </c>
      <c r="AA27" s="816">
        <v>0.32923673997412672</v>
      </c>
      <c r="AB27" s="816">
        <v>2.0403669724770643</v>
      </c>
      <c r="AC27" s="816">
        <v>1.9335664335664335</v>
      </c>
      <c r="AD27" s="816">
        <v>1.8452173424056681</v>
      </c>
      <c r="AE27" s="817">
        <v>1.2765117328519857</v>
      </c>
    </row>
    <row r="28" spans="2:31" ht="16.5" thickBot="1">
      <c r="B28" s="775" t="s">
        <v>342</v>
      </c>
      <c r="C28" s="776"/>
      <c r="D28" s="777"/>
      <c r="E28" s="778">
        <f>E27+E26</f>
        <v>135101.21113195157</v>
      </c>
      <c r="I28" s="775" t="s">
        <v>342</v>
      </c>
      <c r="J28" s="776"/>
      <c r="K28" s="777"/>
      <c r="L28" s="778">
        <f>L27+L26</f>
        <v>135894.73842779282</v>
      </c>
      <c r="Q28" s="775" t="s">
        <v>342</v>
      </c>
      <c r="R28" s="776"/>
      <c r="S28" s="777"/>
      <c r="T28" s="778">
        <f>T27+T26</f>
        <v>256403.16473097532</v>
      </c>
      <c r="V28" s="718" t="s">
        <v>321</v>
      </c>
      <c r="X28" s="818">
        <v>0.45</v>
      </c>
      <c r="Y28" s="816">
        <v>0.7</v>
      </c>
      <c r="Z28" s="816">
        <v>0.15</v>
      </c>
      <c r="AA28" s="816">
        <v>0.7</v>
      </c>
      <c r="AB28" s="816"/>
      <c r="AC28" s="816">
        <v>0.25</v>
      </c>
      <c r="AD28" s="816">
        <v>1.1000000000000001</v>
      </c>
      <c r="AE28" s="817">
        <v>0.9</v>
      </c>
    </row>
    <row r="29" spans="2:31" ht="17.25" thickTop="1" thickBot="1">
      <c r="B29" s="737" t="s">
        <v>618</v>
      </c>
      <c r="C29" s="738"/>
      <c r="D29" s="779">
        <f>W24</f>
        <v>2.6565517099262824E-2</v>
      </c>
      <c r="E29" s="740">
        <f>E28*D29</f>
        <v>3589.0335344569762</v>
      </c>
      <c r="I29" s="737" t="s">
        <v>618</v>
      </c>
      <c r="J29" s="738"/>
      <c r="K29" s="779">
        <f>W24</f>
        <v>2.6565517099262824E-2</v>
      </c>
      <c r="L29" s="740">
        <f>L28*K29</f>
        <v>3610.113997403379</v>
      </c>
      <c r="Q29" s="752" t="s">
        <v>618</v>
      </c>
      <c r="R29" s="774">
        <f>W24</f>
        <v>2.6565517099262824E-2</v>
      </c>
      <c r="S29" s="712"/>
      <c r="T29" s="755">
        <f>T28*R29</f>
        <v>6811.4826569658271</v>
      </c>
      <c r="V29" s="727" t="s">
        <v>324</v>
      </c>
      <c r="X29" s="818">
        <v>0.95</v>
      </c>
      <c r="Y29" s="816">
        <v>1.62</v>
      </c>
      <c r="Z29" s="816">
        <v>1.05</v>
      </c>
      <c r="AA29" s="816">
        <v>1.91</v>
      </c>
      <c r="AB29" s="816"/>
      <c r="AC29" s="816">
        <v>1.21</v>
      </c>
      <c r="AD29" s="816">
        <v>3.79</v>
      </c>
      <c r="AE29" s="817">
        <v>2.39</v>
      </c>
    </row>
    <row r="30" spans="2:31" ht="16.5" thickBot="1">
      <c r="B30" s="780" t="s">
        <v>621</v>
      </c>
      <c r="C30" s="781"/>
      <c r="D30" s="782"/>
      <c r="E30" s="783">
        <f>E29+E28</f>
        <v>138690.24466640854</v>
      </c>
      <c r="I30" s="780" t="s">
        <v>621</v>
      </c>
      <c r="J30" s="781"/>
      <c r="K30" s="782"/>
      <c r="L30" s="783">
        <f>L29+L28</f>
        <v>139504.85242519621</v>
      </c>
      <c r="Q30" s="780" t="s">
        <v>621</v>
      </c>
      <c r="R30" s="781"/>
      <c r="S30" s="782"/>
      <c r="T30" s="783">
        <f>T29+T28</f>
        <v>263214.64738794114</v>
      </c>
      <c r="V30" s="727" t="s">
        <v>322</v>
      </c>
      <c r="X30" s="818">
        <v>0.13543146969089426</v>
      </c>
      <c r="Y30" s="712">
        <v>0.13543146969089426</v>
      </c>
      <c r="Z30" s="712">
        <v>0.25</v>
      </c>
      <c r="AA30" s="712">
        <v>0.16558861578266496</v>
      </c>
      <c r="AB30" s="712">
        <v>0.13064220183486239</v>
      </c>
      <c r="AC30" s="712">
        <v>0.20489510489510487</v>
      </c>
      <c r="AD30" s="712">
        <v>0.33456109767755715</v>
      </c>
      <c r="AE30" s="835">
        <v>0.47354467509025272</v>
      </c>
    </row>
    <row r="31" spans="2:31" ht="16.5" thickBot="1">
      <c r="B31" s="752" t="s">
        <v>522</v>
      </c>
      <c r="C31" s="743"/>
      <c r="D31" s="784"/>
      <c r="E31" s="759">
        <v>10</v>
      </c>
      <c r="I31" s="752" t="s">
        <v>343</v>
      </c>
      <c r="J31" s="743"/>
      <c r="K31" s="784"/>
      <c r="L31" s="759">
        <v>10</v>
      </c>
      <c r="Q31" s="752" t="s">
        <v>343</v>
      </c>
      <c r="R31" s="743"/>
      <c r="S31" s="784"/>
      <c r="T31" s="759">
        <v>10</v>
      </c>
      <c r="V31" s="734" t="s">
        <v>465</v>
      </c>
      <c r="W31" s="735"/>
      <c r="X31" s="821"/>
      <c r="Y31" s="819"/>
      <c r="Z31" s="819"/>
      <c r="AA31" s="819"/>
      <c r="AB31" s="819"/>
      <c r="AC31" s="819"/>
      <c r="AD31" s="819"/>
      <c r="AE31" s="820"/>
    </row>
    <row r="32" spans="2:31" ht="16.5" thickBot="1">
      <c r="B32" s="752" t="s">
        <v>462</v>
      </c>
      <c r="C32" s="743"/>
      <c r="D32" s="784"/>
      <c r="E32" s="785">
        <f>2080*(1-0.154)</f>
        <v>1759.6799999999998</v>
      </c>
      <c r="I32" s="752" t="s">
        <v>462</v>
      </c>
      <c r="J32" s="743"/>
      <c r="K32" s="784"/>
      <c r="L32" s="785">
        <f>2080*(1-0.154)</f>
        <v>1759.6799999999998</v>
      </c>
      <c r="Q32" s="752" t="s">
        <v>344</v>
      </c>
      <c r="R32" s="738"/>
      <c r="S32" s="739"/>
      <c r="T32" s="786">
        <f>T30/T31/365</f>
        <v>72.113602024093467</v>
      </c>
      <c r="V32" s="836"/>
      <c r="W32" s="717"/>
      <c r="X32" s="915" t="s">
        <v>307</v>
      </c>
      <c r="Y32" s="916" t="s">
        <v>308</v>
      </c>
      <c r="Z32" s="916" t="s">
        <v>309</v>
      </c>
      <c r="AA32" s="916" t="s">
        <v>310</v>
      </c>
      <c r="AB32" s="916" t="s">
        <v>311</v>
      </c>
      <c r="AC32" s="916" t="s">
        <v>312</v>
      </c>
      <c r="AD32" s="916" t="s">
        <v>313</v>
      </c>
      <c r="AE32" s="916" t="s">
        <v>314</v>
      </c>
    </row>
    <row r="33" spans="1:35" ht="16.5" thickBot="1">
      <c r="B33" s="752" t="s">
        <v>344</v>
      </c>
      <c r="C33" s="738"/>
      <c r="D33" s="739"/>
      <c r="E33" s="786">
        <f>E30/365</f>
        <v>379.97327305865355</v>
      </c>
      <c r="I33" s="752" t="s">
        <v>344</v>
      </c>
      <c r="J33" s="738"/>
      <c r="K33" s="739"/>
      <c r="L33" s="786">
        <f>L30/365</f>
        <v>382.20507513752386</v>
      </c>
      <c r="Q33" s="770"/>
      <c r="R33" s="787"/>
      <c r="S33" s="788"/>
      <c r="T33" s="789">
        <f>T32</f>
        <v>72.113602024093467</v>
      </c>
      <c r="V33" s="752" t="s">
        <v>332</v>
      </c>
      <c r="W33" s="758"/>
      <c r="X33" s="823">
        <f t="shared" ref="X33:AE33" si="10">X26/SUM(X27:X29)</f>
        <v>0.14852513270574261</v>
      </c>
      <c r="Y33" s="823">
        <f t="shared" si="10"/>
        <v>8.9627235253465345E-2</v>
      </c>
      <c r="Z33" s="823">
        <f t="shared" si="10"/>
        <v>0.19460329545578819</v>
      </c>
      <c r="AA33" s="823">
        <f t="shared" si="10"/>
        <v>5.8317891929243887E-2</v>
      </c>
      <c r="AB33" s="823">
        <f t="shared" si="10"/>
        <v>0.28345323741007189</v>
      </c>
      <c r="AC33" s="823">
        <f t="shared" si="10"/>
        <v>0.20359380151665021</v>
      </c>
      <c r="AD33" s="823">
        <f t="shared" si="10"/>
        <v>8.0452611900390686E-2</v>
      </c>
      <c r="AE33" s="824">
        <f t="shared" si="10"/>
        <v>0.12398845187308723</v>
      </c>
    </row>
    <row r="34" spans="1:35">
      <c r="B34" s="1090"/>
      <c r="C34" s="1091"/>
      <c r="D34" s="1092" t="s">
        <v>346</v>
      </c>
      <c r="E34" s="1093"/>
      <c r="I34" s="1090"/>
      <c r="J34" s="1091"/>
      <c r="K34" s="1092" t="s">
        <v>346</v>
      </c>
      <c r="L34" s="1093"/>
      <c r="Q34" s="1090"/>
      <c r="R34" s="1091"/>
      <c r="S34" s="1092" t="s">
        <v>346</v>
      </c>
      <c r="T34" s="1093"/>
      <c r="U34" s="743"/>
      <c r="V34" s="752" t="s">
        <v>334</v>
      </c>
      <c r="W34" s="827">
        <f>AVERAGE(X34:AE34)</f>
        <v>7.4532576344018553E-2</v>
      </c>
      <c r="X34" s="825">
        <f t="shared" ref="X34:AE34" si="11">X30/SUM(X27:X29)</f>
        <v>9.6736764064924471E-2</v>
      </c>
      <c r="Y34" s="825">
        <f t="shared" si="11"/>
        <v>5.8375633487454413E-2</v>
      </c>
      <c r="Z34" s="825">
        <f t="shared" si="11"/>
        <v>0.10703181250068351</v>
      </c>
      <c r="AA34" s="825">
        <f t="shared" si="11"/>
        <v>5.6337284278816749E-2</v>
      </c>
      <c r="AB34" s="825">
        <f t="shared" si="11"/>
        <v>6.4028776978417259E-2</v>
      </c>
      <c r="AC34" s="825">
        <f t="shared" si="11"/>
        <v>6.0377514012528846E-2</v>
      </c>
      <c r="AD34" s="825">
        <f t="shared" si="11"/>
        <v>4.9673392953650315E-2</v>
      </c>
      <c r="AE34" s="826">
        <f t="shared" si="11"/>
        <v>0.10369943247567294</v>
      </c>
    </row>
    <row r="35" spans="1:35" ht="16.5" customHeight="1" thickBot="1">
      <c r="B35" s="790" t="s">
        <v>469</v>
      </c>
      <c r="C35" s="791"/>
      <c r="D35" s="792" t="s">
        <v>528</v>
      </c>
      <c r="E35" s="793">
        <f>E30/E32</f>
        <v>78.815605488730085</v>
      </c>
      <c r="I35" s="790" t="s">
        <v>469</v>
      </c>
      <c r="J35" s="791"/>
      <c r="K35" s="792" t="s">
        <v>528</v>
      </c>
      <c r="L35" s="793">
        <f>L30/L32</f>
        <v>79.278534975220623</v>
      </c>
      <c r="Q35" s="794"/>
      <c r="R35" s="795"/>
      <c r="S35" s="796" t="s">
        <v>347</v>
      </c>
      <c r="T35" s="797">
        <f>T33*365/1952</f>
        <v>13.48435693585764</v>
      </c>
      <c r="V35" s="752" t="s">
        <v>335</v>
      </c>
      <c r="W35" s="827">
        <v>0.125</v>
      </c>
      <c r="X35" s="825"/>
      <c r="Y35" s="828"/>
      <c r="Z35" s="828"/>
      <c r="AA35" s="828"/>
      <c r="AB35" s="828"/>
      <c r="AC35" s="828"/>
      <c r="AD35" s="828"/>
      <c r="AE35" s="829"/>
      <c r="AF35" s="743"/>
    </row>
    <row r="36" spans="1:35" ht="16.5" thickBot="1">
      <c r="A36" s="743"/>
      <c r="Q36" s="798"/>
      <c r="R36" s="799"/>
      <c r="S36" s="792" t="s">
        <v>537</v>
      </c>
      <c r="T36" s="793">
        <f>T33</f>
        <v>72.113602024093467</v>
      </c>
      <c r="V36" s="752"/>
      <c r="W36" s="743"/>
      <c r="X36" s="749"/>
      <c r="Y36" s="743"/>
      <c r="Z36" s="743"/>
      <c r="AA36" s="743"/>
      <c r="AB36" s="743"/>
      <c r="AC36" s="743"/>
      <c r="AD36" s="743"/>
      <c r="AE36" s="759"/>
    </row>
    <row r="37" spans="1:35" ht="14.45" customHeight="1" thickBot="1">
      <c r="B37" s="800"/>
      <c r="C37" s="801"/>
      <c r="D37" s="802" t="s">
        <v>349</v>
      </c>
      <c r="E37" s="803">
        <f>E33*365/12</f>
        <v>11557.520388867379</v>
      </c>
      <c r="I37" s="800"/>
      <c r="J37" s="801"/>
      <c r="K37" s="802" t="s">
        <v>349</v>
      </c>
      <c r="L37" s="803">
        <f>L33*365/12</f>
        <v>11625.404368766351</v>
      </c>
      <c r="Q37" s="794"/>
      <c r="R37" s="795"/>
      <c r="S37" s="804" t="s">
        <v>349</v>
      </c>
      <c r="T37" s="805">
        <f>T33*365/12</f>
        <v>2193.4553948995094</v>
      </c>
      <c r="V37" s="906" t="s">
        <v>336</v>
      </c>
      <c r="W37" s="907"/>
      <c r="X37" s="908">
        <v>0.34150000000000003</v>
      </c>
      <c r="Y37" s="908">
        <v>0.21195</v>
      </c>
      <c r="Z37" s="908">
        <v>0.21310000000000001</v>
      </c>
      <c r="AA37" s="908">
        <v>0.28775000000000001</v>
      </c>
      <c r="AB37" s="908">
        <v>0.20979999999999999</v>
      </c>
      <c r="AC37" s="908">
        <v>0.29899999999999999</v>
      </c>
      <c r="AD37" s="909">
        <v>0.16789999999999999</v>
      </c>
      <c r="AE37" s="910">
        <v>0.31219999999999998</v>
      </c>
      <c r="AG37" s="743"/>
      <c r="AH37" s="743"/>
    </row>
    <row r="38" spans="1:35" ht="14.45" customHeight="1">
      <c r="B38" s="806"/>
      <c r="C38" s="807"/>
      <c r="D38" s="796" t="s">
        <v>350</v>
      </c>
      <c r="E38" s="797">
        <f>E33*365/4</f>
        <v>34672.561166602136</v>
      </c>
      <c r="I38" s="806"/>
      <c r="J38" s="807"/>
      <c r="K38" s="796" t="s">
        <v>350</v>
      </c>
      <c r="L38" s="797">
        <f>L33*365/4</f>
        <v>34876.213106299052</v>
      </c>
      <c r="Q38" s="794"/>
      <c r="R38" s="795"/>
      <c r="S38" s="796" t="s">
        <v>350</v>
      </c>
      <c r="T38" s="797">
        <f>T33*365/4</f>
        <v>6580.3661846985287</v>
      </c>
      <c r="AI38" s="743"/>
    </row>
    <row r="39" spans="1:35" ht="15" customHeight="1">
      <c r="B39" s="806"/>
      <c r="C39" s="807"/>
      <c r="D39" s="796" t="s">
        <v>351</v>
      </c>
      <c r="E39" s="797">
        <f>E33*365/2</f>
        <v>69345.122333204272</v>
      </c>
      <c r="I39" s="806"/>
      <c r="J39" s="807"/>
      <c r="K39" s="796" t="s">
        <v>351</v>
      </c>
      <c r="L39" s="797">
        <f>L33*365/2</f>
        <v>69752.426212598104</v>
      </c>
      <c r="Q39" s="794"/>
      <c r="R39" s="795"/>
      <c r="S39" s="796" t="s">
        <v>351</v>
      </c>
      <c r="T39" s="797">
        <f>T33*365/2</f>
        <v>13160.732369397057</v>
      </c>
    </row>
    <row r="40" spans="1:35" s="743" customFormat="1" ht="15.75" customHeight="1" thickBot="1">
      <c r="A40" s="697"/>
      <c r="B40" s="808"/>
      <c r="C40" s="809"/>
      <c r="D40" s="810" t="s">
        <v>352</v>
      </c>
      <c r="E40" s="811">
        <f>E33*365</f>
        <v>138690.24466640854</v>
      </c>
      <c r="F40" s="697"/>
      <c r="G40" s="697"/>
      <c r="H40" s="697"/>
      <c r="I40" s="808"/>
      <c r="J40" s="809"/>
      <c r="K40" s="810" t="s">
        <v>352</v>
      </c>
      <c r="L40" s="811">
        <f>L33*365</f>
        <v>139504.85242519621</v>
      </c>
      <c r="M40" s="697"/>
      <c r="N40" s="697"/>
      <c r="O40" s="697"/>
      <c r="P40" s="697"/>
      <c r="Q40" s="798"/>
      <c r="R40" s="799"/>
      <c r="S40" s="810" t="s">
        <v>352</v>
      </c>
      <c r="T40" s="811">
        <f>T33*365</f>
        <v>26321.464738794115</v>
      </c>
      <c r="U40" s="697"/>
      <c r="V40" s="697"/>
      <c r="W40" s="697"/>
      <c r="X40" s="697"/>
      <c r="Y40" s="697"/>
      <c r="Z40" s="697"/>
      <c r="AA40" s="697"/>
      <c r="AB40" s="697"/>
      <c r="AC40" s="697"/>
      <c r="AD40" s="697"/>
      <c r="AE40" s="697"/>
      <c r="AF40" s="697"/>
      <c r="AG40" s="697"/>
      <c r="AH40" s="697"/>
      <c r="AI40" s="697"/>
    </row>
  </sheetData>
  <mergeCells count="15">
    <mergeCell ref="X4:Z5"/>
    <mergeCell ref="I1:L1"/>
    <mergeCell ref="B1:E1"/>
    <mergeCell ref="B34:C34"/>
    <mergeCell ref="D34:E34"/>
    <mergeCell ref="I34:J34"/>
    <mergeCell ref="K34:L34"/>
    <mergeCell ref="I2:L2"/>
    <mergeCell ref="Q2:T2"/>
    <mergeCell ref="Q34:R34"/>
    <mergeCell ref="S34:T34"/>
    <mergeCell ref="V13:W13"/>
    <mergeCell ref="B2:E2"/>
    <mergeCell ref="V4:V5"/>
    <mergeCell ref="W4:W5"/>
  </mergeCells>
  <phoneticPr fontId="67" type="noConversion"/>
  <pageMargins left="0.7" right="0.7" top="0.75" bottom="0.75" header="0.3" footer="0.3"/>
  <pageSetup orientation="portrait" r:id="rId1"/>
  <ignoredErrors>
    <ignoredError sqref="J5 E29 L29 T29" formula="1"/>
    <ignoredError sqref="D4:D9 K4:K8 S8" formulaRange="1"/>
  </ignoredError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0F4F9-A0A6-4664-9309-CDD25C7A041F}">
  <sheetPr>
    <tabColor rgb="FF92D050"/>
  </sheetPr>
  <dimension ref="B1:AM90"/>
  <sheetViews>
    <sheetView topLeftCell="P6" zoomScaleNormal="100" workbookViewId="0">
      <selection activeCell="Z31" sqref="Z31"/>
    </sheetView>
  </sheetViews>
  <sheetFormatPr defaultColWidth="9.140625" defaultRowHeight="15"/>
  <cols>
    <col min="2" max="2" width="30.85546875" customWidth="1"/>
    <col min="3" max="3" width="15.42578125" customWidth="1"/>
    <col min="4" max="4" width="13.85546875" bestFit="1" customWidth="1"/>
    <col min="5" max="5" width="12.140625" customWidth="1"/>
    <col min="6" max="7" width="12.140625" hidden="1" customWidth="1"/>
    <col min="8" max="8" width="9.140625" bestFit="1" customWidth="1"/>
    <col min="9" max="9" width="30.85546875" customWidth="1"/>
    <col min="10" max="10" width="15.42578125" customWidth="1"/>
    <col min="11" max="11" width="13.85546875" bestFit="1" customWidth="1"/>
    <col min="12" max="12" width="12.140625" customWidth="1"/>
    <col min="13" max="14" width="12.140625" hidden="1" customWidth="1"/>
    <col min="15" max="15" width="10.42578125" customWidth="1"/>
    <col min="16" max="16" width="30.85546875" customWidth="1"/>
    <col min="17" max="17" width="15.42578125" customWidth="1"/>
    <col min="18" max="18" width="13.85546875" bestFit="1" customWidth="1"/>
    <col min="19" max="19" width="12.140625" customWidth="1"/>
    <col min="20" max="20" width="9.5703125" hidden="1" customWidth="1"/>
    <col min="21" max="21" width="12" hidden="1" customWidth="1"/>
    <col min="22" max="22" width="9.140625" bestFit="1" customWidth="1"/>
    <col min="24" max="24" width="37.85546875" bestFit="1" customWidth="1"/>
    <col min="25" max="25" width="9" bestFit="1" customWidth="1"/>
  </cols>
  <sheetData>
    <row r="1" spans="2:33" ht="15.75" thickBot="1">
      <c r="B1" s="1114"/>
      <c r="C1" s="1114"/>
      <c r="D1" s="1114"/>
      <c r="E1" s="1114"/>
      <c r="F1" s="476"/>
      <c r="I1" s="1114"/>
      <c r="J1" s="1114"/>
      <c r="K1" s="1114"/>
      <c r="L1" s="1114"/>
      <c r="M1" s="476"/>
      <c r="N1" s="476"/>
      <c r="P1" s="1114"/>
      <c r="Q1" s="1114"/>
      <c r="R1" s="1114"/>
      <c r="S1" s="1114"/>
      <c r="T1" s="476"/>
      <c r="U1" s="476"/>
    </row>
    <row r="2" spans="2:33" ht="18.75" customHeight="1" thickBot="1">
      <c r="B2" s="1115" t="s">
        <v>613</v>
      </c>
      <c r="C2" s="1116"/>
      <c r="D2" s="1116"/>
      <c r="E2" s="1117"/>
      <c r="F2" s="477" t="s">
        <v>298</v>
      </c>
      <c r="I2" s="1115" t="s">
        <v>597</v>
      </c>
      <c r="J2" s="1116"/>
      <c r="K2" s="1116"/>
      <c r="L2" s="1117"/>
      <c r="M2" s="477" t="s">
        <v>298</v>
      </c>
      <c r="N2" s="478"/>
      <c r="P2" s="1115" t="s">
        <v>607</v>
      </c>
      <c r="Q2" s="1116"/>
      <c r="R2" s="1116"/>
      <c r="S2" s="1117"/>
      <c r="T2" s="477" t="s">
        <v>298</v>
      </c>
      <c r="U2" s="478"/>
    </row>
    <row r="3" spans="2:33" ht="15" customHeight="1" thickBot="1">
      <c r="B3" s="479"/>
      <c r="C3" s="480" t="s">
        <v>299</v>
      </c>
      <c r="D3" s="481" t="s">
        <v>300</v>
      </c>
      <c r="E3" s="482" t="s">
        <v>301</v>
      </c>
      <c r="F3" s="483"/>
      <c r="I3" s="479"/>
      <c r="J3" s="480" t="s">
        <v>299</v>
      </c>
      <c r="K3" s="481" t="s">
        <v>300</v>
      </c>
      <c r="L3" s="482" t="s">
        <v>301</v>
      </c>
      <c r="M3" s="483"/>
      <c r="N3" s="484"/>
      <c r="P3" s="479"/>
      <c r="Q3" s="480" t="s">
        <v>299</v>
      </c>
      <c r="R3" s="481" t="s">
        <v>300</v>
      </c>
      <c r="S3" s="482" t="s">
        <v>301</v>
      </c>
      <c r="T3" s="483"/>
      <c r="U3" s="484"/>
      <c r="X3" s="1099" t="s">
        <v>302</v>
      </c>
      <c r="Y3" s="1100"/>
      <c r="Z3" s="1100"/>
      <c r="AA3" s="1100"/>
      <c r="AB3" s="1100"/>
      <c r="AC3" s="1100"/>
      <c r="AD3" s="1100"/>
      <c r="AE3" s="1100"/>
      <c r="AF3" s="1100"/>
      <c r="AG3" s="1101"/>
    </row>
    <row r="4" spans="2:33" ht="15" customHeight="1" thickBot="1">
      <c r="B4" s="465" t="s">
        <v>303</v>
      </c>
      <c r="C4" s="466">
        <f>J4</f>
        <v>79415.232000000018</v>
      </c>
      <c r="D4" s="467">
        <f>AVERAGE($Z$24:$AG$24)*(SUM(D5:D6))</f>
        <v>0.16999323834388824</v>
      </c>
      <c r="E4" s="382">
        <f t="shared" ref="E4:E8" si="0">C4*D4</f>
        <v>13500.052461511184</v>
      </c>
      <c r="F4" s="472">
        <f t="shared" ref="F4" si="1">D4*40</f>
        <v>6.7997295337555297</v>
      </c>
      <c r="I4" s="465" t="s">
        <v>303</v>
      </c>
      <c r="J4" s="466">
        <f>Y6</f>
        <v>79415.232000000018</v>
      </c>
      <c r="K4" s="467">
        <f>AVERAGE('Safe &amp; Stable'!$X$33:$AE$33)*(SUM(K5:K7))</f>
        <v>0.18477525906944375</v>
      </c>
      <c r="L4" s="382">
        <f t="shared" ref="L4:L7" si="2">J4*K4</f>
        <v>14673.970066859983</v>
      </c>
      <c r="M4" s="472">
        <f t="shared" ref="M4:M7" si="3">K4*40</f>
        <v>7.3910103627777506</v>
      </c>
      <c r="N4" s="473"/>
      <c r="P4" s="465" t="s">
        <v>303</v>
      </c>
      <c r="Q4" s="466">
        <f>Y6</f>
        <v>79415.232000000018</v>
      </c>
      <c r="R4" s="467">
        <f>AVERAGE($Z$24:$AG$24)*(SUM(R5:R6))</f>
        <v>0.147820207255555</v>
      </c>
      <c r="S4" s="382">
        <f t="shared" ref="S4" si="4">Q4*R4</f>
        <v>11739.176053487987</v>
      </c>
      <c r="T4" s="468">
        <f t="shared" ref="T4" si="5">R4*40</f>
        <v>5.9128082902222001</v>
      </c>
      <c r="U4" s="469"/>
      <c r="X4" s="1102" t="s">
        <v>304</v>
      </c>
      <c r="Y4" s="1103"/>
      <c r="Z4" s="1106" t="s">
        <v>305</v>
      </c>
      <c r="AA4" s="1107"/>
      <c r="AB4" s="1107"/>
      <c r="AC4" s="1107"/>
      <c r="AD4" s="1107"/>
      <c r="AE4" s="1107"/>
      <c r="AF4" s="1107"/>
      <c r="AG4" s="1108"/>
    </row>
    <row r="5" spans="2:33" ht="15.75" thickBot="1">
      <c r="B5" s="465" t="s">
        <v>458</v>
      </c>
      <c r="C5" s="466">
        <f>J6</f>
        <v>53206.566400000003</v>
      </c>
      <c r="D5" s="467">
        <v>1</v>
      </c>
      <c r="E5" s="382">
        <f t="shared" si="0"/>
        <v>53206.566400000003</v>
      </c>
      <c r="F5" s="472" t="e">
        <f>#REF!*40</f>
        <v>#REF!</v>
      </c>
      <c r="I5" s="465" t="s">
        <v>519</v>
      </c>
      <c r="J5" s="466">
        <f>Y7</f>
        <v>80606.448000000004</v>
      </c>
      <c r="K5" s="467">
        <v>0.25</v>
      </c>
      <c r="L5" s="382">
        <f t="shared" si="2"/>
        <v>20151.612000000001</v>
      </c>
      <c r="M5" s="472">
        <f t="shared" si="3"/>
        <v>10</v>
      </c>
      <c r="N5" s="473"/>
      <c r="P5" s="465" t="s">
        <v>458</v>
      </c>
      <c r="Q5" s="466">
        <f>Y9</f>
        <v>53206.566400000003</v>
      </c>
      <c r="R5" s="467">
        <v>0.75</v>
      </c>
      <c r="S5" s="382">
        <f>Q5*R5</f>
        <v>39904.924800000001</v>
      </c>
      <c r="T5" s="468" t="e">
        <f>#REF!*40</f>
        <v>#REF!</v>
      </c>
      <c r="U5" s="469"/>
      <c r="X5" s="1104"/>
      <c r="Y5" s="1105"/>
      <c r="Z5" s="486" t="s">
        <v>307</v>
      </c>
      <c r="AA5" s="486" t="s">
        <v>308</v>
      </c>
      <c r="AB5" s="486" t="s">
        <v>309</v>
      </c>
      <c r="AC5" s="486" t="s">
        <v>310</v>
      </c>
      <c r="AD5" s="486" t="s">
        <v>311</v>
      </c>
      <c r="AE5" s="486" t="s">
        <v>312</v>
      </c>
      <c r="AF5" s="486" t="s">
        <v>313</v>
      </c>
      <c r="AG5" s="486" t="s">
        <v>314</v>
      </c>
    </row>
    <row r="6" spans="2:33">
      <c r="B6" s="465" t="s">
        <v>321</v>
      </c>
      <c r="C6" s="466">
        <f>J7</f>
        <v>64330.864000000001</v>
      </c>
      <c r="D6" s="467">
        <v>0.15</v>
      </c>
      <c r="E6" s="382">
        <f t="shared" si="0"/>
        <v>9649.6296000000002</v>
      </c>
      <c r="F6" s="472">
        <f>D5*40</f>
        <v>40</v>
      </c>
      <c r="G6">
        <f>1/D5</f>
        <v>1</v>
      </c>
      <c r="I6" s="465" t="s">
        <v>458</v>
      </c>
      <c r="J6" s="466">
        <f>Y9</f>
        <v>53206.566400000003</v>
      </c>
      <c r="K6" s="467">
        <v>0.6</v>
      </c>
      <c r="L6" s="382">
        <f t="shared" si="2"/>
        <v>31923.939839999999</v>
      </c>
      <c r="M6" s="472">
        <f t="shared" si="3"/>
        <v>24</v>
      </c>
      <c r="N6" s="473"/>
      <c r="P6" s="465" t="s">
        <v>321</v>
      </c>
      <c r="Q6" s="466">
        <f>Y8</f>
        <v>64330.864000000001</v>
      </c>
      <c r="R6" s="467">
        <v>0.25</v>
      </c>
      <c r="S6" s="382">
        <f>Q6*R6</f>
        <v>16082.716</v>
      </c>
      <c r="T6" s="468">
        <f>R5*40</f>
        <v>30</v>
      </c>
      <c r="U6" s="469"/>
      <c r="X6" s="487" t="s">
        <v>303</v>
      </c>
      <c r="Y6" s="488">
        <f>'M2022 BLS SALARY CHART (53_PCT)'!C22</f>
        <v>79415.232000000018</v>
      </c>
      <c r="Z6" s="489">
        <v>0.20793518578803963</v>
      </c>
      <c r="AA6" s="490">
        <v>0.20793518578803963</v>
      </c>
      <c r="AB6" s="490">
        <v>0.45454545454545453</v>
      </c>
      <c r="AC6" s="490">
        <v>0.17141009055627424</v>
      </c>
      <c r="AD6" s="490">
        <v>0.57834862385321095</v>
      </c>
      <c r="AE6" s="490">
        <v>0.69090909090909092</v>
      </c>
      <c r="AF6" s="490">
        <v>0.54186582691334406</v>
      </c>
      <c r="AG6" s="491">
        <v>0.56619472021660655</v>
      </c>
    </row>
    <row r="7" spans="2:33">
      <c r="B7" s="465" t="str">
        <f>X11</f>
        <v>Clerical Support</v>
      </c>
      <c r="C7" s="466">
        <f>Y11</f>
        <v>41600</v>
      </c>
      <c r="D7" s="467">
        <f>$Y$25*(SUM(D5:D6))</f>
        <v>8.5712462795621336E-2</v>
      </c>
      <c r="E7" s="382">
        <f t="shared" si="0"/>
        <v>3565.6384522978474</v>
      </c>
      <c r="F7" s="472">
        <f>D6*40</f>
        <v>6</v>
      </c>
      <c r="I7" s="465" t="s">
        <v>321</v>
      </c>
      <c r="J7" s="466">
        <f>Y8</f>
        <v>64330.864000000001</v>
      </c>
      <c r="K7" s="467">
        <v>0.4</v>
      </c>
      <c r="L7" s="382">
        <f t="shared" si="2"/>
        <v>25732.345600000001</v>
      </c>
      <c r="M7" s="472">
        <f t="shared" si="3"/>
        <v>16</v>
      </c>
      <c r="N7" s="473"/>
      <c r="P7" s="465" t="str">
        <f>X11</f>
        <v>Clerical Support</v>
      </c>
      <c r="Q7" s="466">
        <f>Y11</f>
        <v>41600</v>
      </c>
      <c r="R7" s="467">
        <f>$Y$25*(SUM(R5:R6))</f>
        <v>7.4532576344018553E-2</v>
      </c>
      <c r="S7" s="382">
        <f>Q7*R7</f>
        <v>3100.5551759111718</v>
      </c>
      <c r="T7" s="468">
        <f>R6*40</f>
        <v>10</v>
      </c>
      <c r="U7" s="469"/>
      <c r="X7" s="492" t="s">
        <v>319</v>
      </c>
      <c r="Y7" s="488">
        <f>'M2022 BLS SALARY CHART (53_PCT)'!C18</f>
        <v>80606.448000000004</v>
      </c>
      <c r="Z7" s="493"/>
      <c r="AA7" s="494"/>
      <c r="AB7" s="494">
        <v>1.1357541478464965</v>
      </c>
      <c r="AC7" s="494">
        <v>0.32923673997412672</v>
      </c>
      <c r="AD7" s="494">
        <v>2.0403669724770643</v>
      </c>
      <c r="AE7" s="494">
        <v>1.9335664335664335</v>
      </c>
      <c r="AF7" s="494">
        <v>1.8452173424056681</v>
      </c>
      <c r="AG7" s="495">
        <v>1.2765117328519857</v>
      </c>
    </row>
    <row r="8" spans="2:33">
      <c r="B8" s="465" t="s">
        <v>521</v>
      </c>
      <c r="C8" s="466">
        <f>J9</f>
        <v>65676.416000000012</v>
      </c>
      <c r="D8" s="467">
        <f>$Y$26*(SUM(D5:D6))</f>
        <v>0.14374999999999999</v>
      </c>
      <c r="E8" s="382">
        <f t="shared" si="0"/>
        <v>9440.9848000000002</v>
      </c>
      <c r="F8" s="472">
        <f>D7*40</f>
        <v>3.4284985118248534</v>
      </c>
      <c r="I8" s="465" t="str">
        <f>X11</f>
        <v>Clerical Support</v>
      </c>
      <c r="J8" s="466">
        <f>Y11</f>
        <v>41600</v>
      </c>
      <c r="K8" s="467">
        <v>0.09</v>
      </c>
      <c r="L8" s="382">
        <f>K8*J8</f>
        <v>3744</v>
      </c>
      <c r="M8" s="472" t="e">
        <f>#REF!*40</f>
        <v>#REF!</v>
      </c>
      <c r="N8" s="473"/>
      <c r="P8" s="465" t="s">
        <v>521</v>
      </c>
      <c r="Q8" s="466">
        <f>Y10</f>
        <v>65676.416000000012</v>
      </c>
      <c r="R8" s="467">
        <f>$Y$26*(SUM(R5:R6))</f>
        <v>0.125</v>
      </c>
      <c r="S8" s="382">
        <f>Q8*R8</f>
        <v>8209.5520000000015</v>
      </c>
      <c r="T8" s="468">
        <f>R7*40</f>
        <v>2.9813030537607421</v>
      </c>
      <c r="U8" s="469"/>
      <c r="X8" s="492" t="s">
        <v>321</v>
      </c>
      <c r="Y8" s="488">
        <f>'M2022 BLS SALARY CHART (53_PCT)'!C14</f>
        <v>64330.864000000001</v>
      </c>
      <c r="Z8" s="493">
        <v>0.45</v>
      </c>
      <c r="AA8" s="494">
        <v>0.7</v>
      </c>
      <c r="AB8" s="494">
        <v>0.15</v>
      </c>
      <c r="AC8" s="494">
        <v>0.7</v>
      </c>
      <c r="AD8" s="494"/>
      <c r="AE8" s="494">
        <v>0.25</v>
      </c>
      <c r="AF8" s="494">
        <v>1.1000000000000001</v>
      </c>
      <c r="AG8" s="495">
        <v>0.9</v>
      </c>
    </row>
    <row r="9" spans="2:33">
      <c r="B9" s="463"/>
      <c r="C9" s="464"/>
      <c r="D9" s="467"/>
      <c r="E9" s="382"/>
      <c r="F9" s="472">
        <f>D8*40</f>
        <v>5.75</v>
      </c>
      <c r="I9" s="465" t="s">
        <v>521</v>
      </c>
      <c r="J9" s="466">
        <f>Y10</f>
        <v>65676.416000000012</v>
      </c>
      <c r="K9" s="467">
        <f>'Safe &amp; Stable'!$W$35*(SUM(K5:K7))</f>
        <v>0.15625</v>
      </c>
      <c r="L9" s="382">
        <f>J9*K9</f>
        <v>10261.940000000002</v>
      </c>
      <c r="M9" s="470"/>
      <c r="N9" s="471"/>
      <c r="P9" s="463"/>
      <c r="Q9" s="464"/>
      <c r="R9" s="467"/>
      <c r="S9" s="382"/>
      <c r="T9" s="470"/>
      <c r="U9" s="471"/>
      <c r="X9" s="496" t="s">
        <v>610</v>
      </c>
      <c r="Y9" s="488">
        <f>'M2022 BLS SALARY CHART (53_PCT)'!C8</f>
        <v>53206.566400000003</v>
      </c>
      <c r="Z9" s="493">
        <v>0.95</v>
      </c>
      <c r="AA9" s="494">
        <v>1.62</v>
      </c>
      <c r="AB9" s="494">
        <v>1.05</v>
      </c>
      <c r="AC9" s="494">
        <v>1.91</v>
      </c>
      <c r="AD9" s="494"/>
      <c r="AE9" s="494">
        <v>1.21</v>
      </c>
      <c r="AF9" s="494">
        <v>3.79</v>
      </c>
      <c r="AG9" s="495">
        <v>2.39</v>
      </c>
    </row>
    <row r="10" spans="2:33">
      <c r="B10" s="463"/>
      <c r="C10" s="464"/>
      <c r="D10" s="467"/>
      <c r="E10" s="382"/>
      <c r="F10" s="470"/>
      <c r="I10" s="497" t="s">
        <v>326</v>
      </c>
      <c r="J10" s="498"/>
      <c r="K10" s="499">
        <f>SUM(K4:K9)</f>
        <v>1.6810252590694439</v>
      </c>
      <c r="L10" s="500">
        <f>SUM(L4:L9)</f>
        <v>106487.80750685999</v>
      </c>
      <c r="M10" s="501"/>
      <c r="N10" s="502"/>
      <c r="P10" s="497" t="s">
        <v>326</v>
      </c>
      <c r="Q10" s="498"/>
      <c r="R10" s="499">
        <f>SUM(R4:R8)</f>
        <v>1.3473527835995736</v>
      </c>
      <c r="S10" s="500">
        <f>SUM(S4:S8)</f>
        <v>79036.924029399146</v>
      </c>
      <c r="T10" s="501"/>
      <c r="U10" s="502"/>
      <c r="X10" s="496" t="s">
        <v>465</v>
      </c>
      <c r="Y10" s="488">
        <f>'M2022 BLS SALARY CHART (53_PCT)'!C16</f>
        <v>65676.416000000012</v>
      </c>
      <c r="Z10" s="493"/>
      <c r="AA10" s="494"/>
      <c r="AB10" s="494"/>
      <c r="AC10" s="494"/>
      <c r="AD10" s="494"/>
      <c r="AE10" s="494"/>
      <c r="AF10" s="494"/>
      <c r="AG10" s="495"/>
    </row>
    <row r="11" spans="2:33" ht="15.75" thickBot="1">
      <c r="B11" s="497" t="s">
        <v>326</v>
      </c>
      <c r="C11" s="498"/>
      <c r="D11" s="499">
        <f>SUM(D4:D8)</f>
        <v>1.5494557011395096</v>
      </c>
      <c r="E11" s="500">
        <f>SUM(E4:E8)</f>
        <v>89362.871713809043</v>
      </c>
      <c r="F11" s="470"/>
      <c r="I11" s="503"/>
      <c r="J11" s="504"/>
      <c r="K11" s="505"/>
      <c r="L11" s="506"/>
      <c r="M11" s="512"/>
      <c r="N11" s="513"/>
      <c r="P11" s="503"/>
      <c r="Q11" s="504"/>
      <c r="R11" s="505"/>
      <c r="S11" s="506"/>
      <c r="T11" s="501"/>
      <c r="U11" s="502"/>
      <c r="X11" s="507" t="s">
        <v>620</v>
      </c>
      <c r="Y11" s="488">
        <f>'M2022 BLS SALARY CHART (53_PCT)'!C36</f>
        <v>41600</v>
      </c>
      <c r="Z11" s="508">
        <v>0.13543146969089426</v>
      </c>
      <c r="AA11" s="509">
        <v>0.13543146969089426</v>
      </c>
      <c r="AB11" s="509">
        <v>0.25</v>
      </c>
      <c r="AC11" s="509">
        <v>0.16558861578266496</v>
      </c>
      <c r="AD11" s="509">
        <v>0.13064220183486239</v>
      </c>
      <c r="AE11" s="509">
        <v>0.20489510489510487</v>
      </c>
      <c r="AF11" s="509">
        <v>0.33456109767755715</v>
      </c>
      <c r="AG11" s="510">
        <v>0.47354467509025272</v>
      </c>
    </row>
    <row r="12" spans="2:33" ht="15.75" thickBot="1">
      <c r="B12" s="503"/>
      <c r="C12" s="504"/>
      <c r="D12" s="505"/>
      <c r="E12" s="506"/>
      <c r="F12" s="501"/>
      <c r="I12" s="503" t="s">
        <v>328</v>
      </c>
      <c r="J12" s="504"/>
      <c r="K12" s="511"/>
      <c r="L12" s="506"/>
      <c r="M12" s="518"/>
      <c r="N12" s="519"/>
      <c r="P12" s="503" t="s">
        <v>328</v>
      </c>
      <c r="Q12" s="504"/>
      <c r="R12" s="511"/>
      <c r="S12" s="506"/>
      <c r="T12" s="512"/>
      <c r="U12" s="513"/>
      <c r="X12" s="1106" t="s">
        <v>325</v>
      </c>
      <c r="Y12" s="1109"/>
      <c r="Z12" s="514" t="s">
        <v>307</v>
      </c>
      <c r="AA12" s="486" t="s">
        <v>308</v>
      </c>
      <c r="AB12" s="486" t="s">
        <v>309</v>
      </c>
      <c r="AC12" s="486" t="s">
        <v>310</v>
      </c>
      <c r="AD12" s="486" t="s">
        <v>311</v>
      </c>
      <c r="AE12" s="486" t="s">
        <v>312</v>
      </c>
      <c r="AF12" s="486" t="s">
        <v>313</v>
      </c>
      <c r="AG12" s="486" t="s">
        <v>314</v>
      </c>
    </row>
    <row r="13" spans="2:33" ht="15.75">
      <c r="B13" s="503" t="s">
        <v>328</v>
      </c>
      <c r="C13" s="504"/>
      <c r="D13" s="511"/>
      <c r="E13" s="506"/>
      <c r="F13" s="501"/>
      <c r="I13" s="6" t="s">
        <v>329</v>
      </c>
      <c r="J13" s="515">
        <f>'Safe &amp; Stable'!$W$22</f>
        <v>0.27379999999999999</v>
      </c>
      <c r="K13" s="516"/>
      <c r="L13" s="517">
        <f>J13*L10</f>
        <v>29156.361695378262</v>
      </c>
      <c r="M13" s="512"/>
      <c r="N13" s="513"/>
      <c r="P13" s="6" t="s">
        <v>329</v>
      </c>
      <c r="Q13" s="515">
        <f>$Y$13</f>
        <v>0.27379999999999999</v>
      </c>
      <c r="R13" s="516"/>
      <c r="S13" s="517">
        <f>Q13*S10</f>
        <v>21640.309799249484</v>
      </c>
      <c r="T13" s="518"/>
      <c r="U13" s="519"/>
      <c r="X13" s="5" t="s">
        <v>327</v>
      </c>
      <c r="Y13" s="912">
        <f>'M2022 BLS SALARY CHART (53_PCT)'!C$38</f>
        <v>0.27379999999999999</v>
      </c>
      <c r="Z13" s="1041" t="s">
        <v>179</v>
      </c>
      <c r="AA13" s="521"/>
      <c r="AB13" s="521"/>
      <c r="AC13" s="521"/>
      <c r="AD13" s="521"/>
      <c r="AE13" s="521"/>
      <c r="AF13" s="521"/>
      <c r="AG13" s="522"/>
    </row>
    <row r="14" spans="2:33">
      <c r="B14" s="6" t="s">
        <v>329</v>
      </c>
      <c r="C14" s="515">
        <f>$Y$13</f>
        <v>0.27379999999999999</v>
      </c>
      <c r="D14" s="516"/>
      <c r="E14" s="517">
        <f>C14*E11</f>
        <v>24467.554275240916</v>
      </c>
      <c r="F14" s="512"/>
      <c r="I14" s="523" t="s">
        <v>331</v>
      </c>
      <c r="J14" s="524"/>
      <c r="K14" s="525"/>
      <c r="L14" s="500">
        <f>L10+L13</f>
        <v>135644.16920223826</v>
      </c>
      <c r="M14" s="532"/>
      <c r="N14" s="533"/>
      <c r="P14" s="523" t="s">
        <v>331</v>
      </c>
      <c r="Q14" s="524"/>
      <c r="R14" s="525"/>
      <c r="S14" s="500">
        <f>S10+S13</f>
        <v>100677.23382864863</v>
      </c>
      <c r="T14" s="512"/>
      <c r="U14" s="513"/>
      <c r="X14" s="6" t="s">
        <v>178</v>
      </c>
      <c r="Y14" s="526">
        <f>'M2022 BLS SALARY CHART (53_PCT)'!C41</f>
        <v>0.12</v>
      </c>
      <c r="Z14" s="1041" t="s">
        <v>179</v>
      </c>
      <c r="AA14" s="527"/>
      <c r="AB14" s="527"/>
      <c r="AC14" s="527"/>
      <c r="AD14" s="527"/>
      <c r="AE14" s="527"/>
      <c r="AF14" s="528"/>
      <c r="AG14" s="529"/>
    </row>
    <row r="15" spans="2:33">
      <c r="B15" s="523" t="s">
        <v>331</v>
      </c>
      <c r="C15" s="524"/>
      <c r="D15" s="525"/>
      <c r="E15" s="500">
        <f>E11+E14</f>
        <v>113830.42598904995</v>
      </c>
      <c r="F15" s="518"/>
      <c r="I15" s="6" t="s">
        <v>209</v>
      </c>
      <c r="J15" s="530"/>
      <c r="K15" s="531">
        <f>'Safe &amp; Stable'!$W$14</f>
        <v>5963.9694954316801</v>
      </c>
      <c r="L15" s="517">
        <f t="shared" ref="L15:L21" si="6">K15*K$10</f>
        <v>10025.583366140301</v>
      </c>
      <c r="M15" s="533" t="s">
        <v>467</v>
      </c>
      <c r="N15" s="533"/>
      <c r="P15" s="6" t="s">
        <v>209</v>
      </c>
      <c r="Q15" s="530"/>
      <c r="R15" s="531">
        <f>$Y$15</f>
        <v>5963.9694954316801</v>
      </c>
      <c r="S15" s="517">
        <f t="shared" ref="S15:S21" si="7">R15*$K$10</f>
        <v>10025.583366140301</v>
      </c>
      <c r="T15" s="532"/>
      <c r="U15" s="533"/>
      <c r="X15" s="6" t="s">
        <v>209</v>
      </c>
      <c r="Y15" s="917">
        <v>5963.9694954316801</v>
      </c>
      <c r="Z15" s="527" t="s">
        <v>622</v>
      </c>
      <c r="AA15" s="1"/>
      <c r="AB15" s="1"/>
      <c r="AC15" s="1"/>
      <c r="AD15" s="1"/>
      <c r="AE15" s="1"/>
      <c r="AF15" s="1"/>
      <c r="AG15" s="535"/>
    </row>
    <row r="16" spans="2:33">
      <c r="B16" s="6" t="s">
        <v>209</v>
      </c>
      <c r="C16" s="530"/>
      <c r="D16" s="531">
        <f>$Y$15*0.75</f>
        <v>4472.9771215737601</v>
      </c>
      <c r="E16" s="517">
        <f t="shared" ref="E16:E21" si="8">D16*$D$11</f>
        <v>6930.6799020890558</v>
      </c>
      <c r="F16" s="512"/>
      <c r="I16" s="6" t="s">
        <v>214</v>
      </c>
      <c r="J16" s="530"/>
      <c r="K16" s="531">
        <f>'Safe &amp; Stable'!$W$15</f>
        <v>478.85919259527293</v>
      </c>
      <c r="L16" s="517">
        <f t="shared" si="6"/>
        <v>804.97439829025336</v>
      </c>
      <c r="M16" s="533">
        <f>(L17+L19)/SUM(K5:K7)</f>
        <v>6037.944629543158</v>
      </c>
      <c r="N16" s="533"/>
      <c r="P16" s="6" t="s">
        <v>214</v>
      </c>
      <c r="Q16" s="530"/>
      <c r="R16" s="531">
        <f>$Y$16</f>
        <v>478.85919259527293</v>
      </c>
      <c r="S16" s="517">
        <f t="shared" si="7"/>
        <v>804.97439829025336</v>
      </c>
      <c r="T16" s="533" t="s">
        <v>467</v>
      </c>
      <c r="U16" s="533"/>
      <c r="X16" s="6" t="s">
        <v>214</v>
      </c>
      <c r="Y16" s="917">
        <f>159.619730865091*3</f>
        <v>478.85919259527293</v>
      </c>
      <c r="Z16" s="527" t="s">
        <v>622</v>
      </c>
      <c r="AA16" s="1"/>
      <c r="AB16" s="1"/>
      <c r="AC16" s="1"/>
      <c r="AD16" s="1"/>
      <c r="AE16" s="1"/>
      <c r="AF16" s="1"/>
      <c r="AG16" s="535"/>
    </row>
    <row r="17" spans="2:33">
      <c r="B17" s="6" t="s">
        <v>214</v>
      </c>
      <c r="C17" s="530"/>
      <c r="D17" s="531">
        <f>$Y$16</f>
        <v>478.85919259527293</v>
      </c>
      <c r="E17" s="517">
        <f t="shared" si="8"/>
        <v>741.97110600980807</v>
      </c>
      <c r="F17" s="532"/>
      <c r="I17" s="6" t="s">
        <v>215</v>
      </c>
      <c r="J17" s="530"/>
      <c r="K17" s="531">
        <f>'Safe &amp; Stable'!$W$16*2</f>
        <v>3099.4015760147149</v>
      </c>
      <c r="L17" s="517">
        <f t="shared" si="6"/>
        <v>5210.172337280379</v>
      </c>
      <c r="M17" s="532"/>
      <c r="N17" s="533"/>
      <c r="P17" s="6" t="s">
        <v>215</v>
      </c>
      <c r="Q17" s="530"/>
      <c r="R17" s="531">
        <f>$Y$17</f>
        <v>1549.7007880073575</v>
      </c>
      <c r="S17" s="517">
        <f t="shared" si="7"/>
        <v>2605.0861686401895</v>
      </c>
      <c r="T17" s="533">
        <f>(S17+S19)/SUM(R5:R6)</f>
        <v>3773.7153934644739</v>
      </c>
      <c r="U17" s="533"/>
      <c r="X17" s="6" t="s">
        <v>215</v>
      </c>
      <c r="Y17" s="917">
        <f>1056.87839323969*(1.333)*1.1</f>
        <v>1549.7007880073575</v>
      </c>
      <c r="Z17" s="527" t="s">
        <v>622</v>
      </c>
      <c r="AA17" s="1"/>
      <c r="AB17" s="1"/>
      <c r="AC17" s="1"/>
      <c r="AD17" s="1"/>
      <c r="AE17" s="1"/>
      <c r="AF17" s="1"/>
      <c r="AG17" s="535"/>
    </row>
    <row r="18" spans="2:33">
      <c r="B18" s="6" t="s">
        <v>215</v>
      </c>
      <c r="C18" s="530"/>
      <c r="D18" s="531">
        <f>$Y$17</f>
        <v>1549.7007880073575</v>
      </c>
      <c r="E18" s="517">
        <f t="shared" si="8"/>
        <v>2401.1927210383906</v>
      </c>
      <c r="F18" s="533" t="s">
        <v>467</v>
      </c>
      <c r="I18" s="6" t="s">
        <v>216</v>
      </c>
      <c r="J18" s="530"/>
      <c r="K18" s="531">
        <f>'Safe &amp; Stable'!$W$17</f>
        <v>879.07312379465145</v>
      </c>
      <c r="L18" s="517">
        <f t="shared" si="6"/>
        <v>1477.7441256678892</v>
      </c>
      <c r="M18" s="532"/>
      <c r="N18" s="533"/>
      <c r="P18" s="6" t="s">
        <v>216</v>
      </c>
      <c r="Q18" s="530"/>
      <c r="R18" s="531">
        <f>$Y$18</f>
        <v>879.07312379465145</v>
      </c>
      <c r="S18" s="517">
        <f t="shared" si="7"/>
        <v>1477.7441256678892</v>
      </c>
      <c r="T18" s="532"/>
      <c r="U18" s="533"/>
      <c r="X18" s="6" t="s">
        <v>216</v>
      </c>
      <c r="Y18" s="917">
        <f>659.469710273557*1.333</f>
        <v>879.07312379465145</v>
      </c>
      <c r="Z18" s="527" t="s">
        <v>622</v>
      </c>
      <c r="AA18" s="1"/>
      <c r="AB18" s="1"/>
      <c r="AC18" s="1"/>
      <c r="AD18" s="1"/>
      <c r="AE18" s="1"/>
      <c r="AF18" s="1"/>
      <c r="AG18" s="535"/>
    </row>
    <row r="19" spans="2:33">
      <c r="B19" s="6" t="s">
        <v>217</v>
      </c>
      <c r="C19" s="530"/>
      <c r="D19" s="531">
        <f>$Y$19</f>
        <v>695.1883789486875</v>
      </c>
      <c r="E19" s="517">
        <f t="shared" si="8"/>
        <v>1077.1635971279777</v>
      </c>
      <c r="F19" s="533">
        <f>(E18+E19)/SUM(D5:D6)</f>
        <v>3024.6576679707555</v>
      </c>
      <c r="I19" s="6" t="s">
        <v>217</v>
      </c>
      <c r="J19" s="530"/>
      <c r="K19" s="531">
        <f>'Safe &amp; Stable'!$W$18*2</f>
        <v>1390.376757897375</v>
      </c>
      <c r="L19" s="517">
        <f t="shared" si="6"/>
        <v>2337.2584496485683</v>
      </c>
      <c r="M19" s="532"/>
      <c r="N19" s="533"/>
      <c r="P19" s="6" t="s">
        <v>217</v>
      </c>
      <c r="Q19" s="530"/>
      <c r="R19" s="531">
        <f>$Y$19</f>
        <v>695.1883789486875</v>
      </c>
      <c r="S19" s="517">
        <f t="shared" si="7"/>
        <v>1168.6292248242842</v>
      </c>
      <c r="T19" s="532"/>
      <c r="U19" s="533"/>
      <c r="X19" s="6" t="s">
        <v>217</v>
      </c>
      <c r="Y19" s="917">
        <f>474.110604206975*1.333*1.1</f>
        <v>695.1883789486875</v>
      </c>
      <c r="Z19" s="527" t="s">
        <v>622</v>
      </c>
      <c r="AA19" s="1"/>
      <c r="AB19" s="1"/>
      <c r="AC19" s="1"/>
      <c r="AD19" s="1"/>
      <c r="AE19" s="1"/>
      <c r="AF19" s="1"/>
      <c r="AG19" s="535"/>
    </row>
    <row r="20" spans="2:33">
      <c r="B20" s="6" t="s">
        <v>221</v>
      </c>
      <c r="C20" s="530"/>
      <c r="D20" s="531">
        <f>$Y$20*1.5</f>
        <v>2600.9014554130626</v>
      </c>
      <c r="E20" s="517">
        <f t="shared" si="8"/>
        <v>4029.981588191818</v>
      </c>
      <c r="F20" s="532"/>
      <c r="I20" s="6" t="s">
        <v>221</v>
      </c>
      <c r="J20" s="530"/>
      <c r="K20" s="531">
        <f>'Safe &amp; Stable'!$W$19</f>
        <v>3467.86860721742</v>
      </c>
      <c r="L20" s="517">
        <f t="shared" si="6"/>
        <v>5829.5747238664553</v>
      </c>
      <c r="M20" s="532"/>
      <c r="N20" s="533"/>
      <c r="P20" s="6" t="s">
        <v>221</v>
      </c>
      <c r="Q20" s="530"/>
      <c r="R20" s="531">
        <f>$Y$20*2</f>
        <v>3467.8686072174169</v>
      </c>
      <c r="S20" s="517">
        <f t="shared" si="7"/>
        <v>5829.5747238664499</v>
      </c>
      <c r="T20" s="532"/>
      <c r="U20" s="533"/>
      <c r="X20" s="6" t="s">
        <v>221</v>
      </c>
      <c r="Y20" s="917">
        <v>1733.9343036087084</v>
      </c>
      <c r="Z20" s="527" t="s">
        <v>622</v>
      </c>
      <c r="AA20" s="1"/>
      <c r="AB20" s="1"/>
      <c r="AC20" s="1"/>
      <c r="AD20" s="1"/>
      <c r="AE20" s="1"/>
      <c r="AF20" s="1"/>
      <c r="AG20" s="535"/>
    </row>
    <row r="21" spans="2:33">
      <c r="B21" s="6" t="s">
        <v>225</v>
      </c>
      <c r="C21" s="530"/>
      <c r="D21" s="531">
        <f>$Y$21</f>
        <v>2021.025365447505</v>
      </c>
      <c r="E21" s="517">
        <f t="shared" si="8"/>
        <v>3131.4892746401974</v>
      </c>
      <c r="F21" s="532"/>
      <c r="I21" s="6" t="s">
        <v>225</v>
      </c>
      <c r="J21" s="530"/>
      <c r="K21" s="531">
        <f>'Safe &amp; Stable'!$W$20</f>
        <v>2021.025365447505</v>
      </c>
      <c r="L21" s="517">
        <f t="shared" si="6"/>
        <v>3397.3946885373098</v>
      </c>
      <c r="M21" s="532"/>
      <c r="P21" s="6" t="s">
        <v>225</v>
      </c>
      <c r="Q21" s="530"/>
      <c r="R21" s="531">
        <f>$Y$21</f>
        <v>2021.025365447505</v>
      </c>
      <c r="S21" s="517">
        <f t="shared" si="7"/>
        <v>3397.3946885373098</v>
      </c>
      <c r="T21" s="532"/>
      <c r="U21" s="533"/>
      <c r="X21" s="6" t="s">
        <v>225</v>
      </c>
      <c r="Y21" s="917">
        <f>1347.35024363167*1.5</f>
        <v>2021.025365447505</v>
      </c>
      <c r="Z21" s="527" t="s">
        <v>622</v>
      </c>
      <c r="AA21" s="1"/>
      <c r="AB21" s="1"/>
      <c r="AC21" s="1"/>
      <c r="AD21" s="1"/>
      <c r="AE21" s="1"/>
      <c r="AF21" s="1"/>
      <c r="AG21" s="535"/>
    </row>
    <row r="22" spans="2:33">
      <c r="B22" s="6"/>
      <c r="C22" s="530"/>
      <c r="D22" s="467"/>
      <c r="E22" s="506"/>
      <c r="F22" s="532"/>
      <c r="I22" s="6"/>
      <c r="J22" s="530"/>
      <c r="K22" s="531"/>
      <c r="L22" s="517"/>
      <c r="P22" s="6"/>
      <c r="Q22" s="530"/>
      <c r="R22" s="467"/>
      <c r="S22" s="506"/>
      <c r="X22" s="6"/>
      <c r="Y22" s="917"/>
      <c r="Z22" s="527"/>
      <c r="AA22" s="1"/>
      <c r="AB22" s="1"/>
      <c r="AC22" s="1"/>
      <c r="AD22" s="1"/>
      <c r="AE22" s="1"/>
      <c r="AF22" s="1"/>
      <c r="AG22" s="535"/>
    </row>
    <row r="23" spans="2:33">
      <c r="B23" s="6" t="s">
        <v>337</v>
      </c>
      <c r="C23" s="536"/>
      <c r="D23" s="467"/>
      <c r="E23" s="517">
        <f>SUM(E16:E22)</f>
        <v>18312.478189097248</v>
      </c>
      <c r="F23" s="532"/>
      <c r="I23" s="6" t="s">
        <v>337</v>
      </c>
      <c r="J23" s="536"/>
      <c r="K23" s="467"/>
      <c r="L23" s="517">
        <f>SUM(L15:L21)</f>
        <v>29082.702089431157</v>
      </c>
      <c r="P23" s="6" t="s">
        <v>337</v>
      </c>
      <c r="Q23" s="536"/>
      <c r="R23" s="467"/>
      <c r="S23" s="517">
        <f>SUM(S15:S22)</f>
        <v>25308.986695966676</v>
      </c>
      <c r="X23" s="6"/>
      <c r="Y23" s="917"/>
      <c r="Z23" s="527"/>
      <c r="AA23" s="1"/>
      <c r="AB23" s="1"/>
      <c r="AC23" s="1"/>
      <c r="AD23" s="1"/>
      <c r="AE23" s="1"/>
      <c r="AF23" s="1"/>
      <c r="AG23" s="535"/>
    </row>
    <row r="24" spans="2:33">
      <c r="B24" s="523" t="s">
        <v>338</v>
      </c>
      <c r="C24" s="524"/>
      <c r="D24" s="525"/>
      <c r="E24" s="500">
        <f>E15+E23</f>
        <v>132142.9041781472</v>
      </c>
      <c r="F24" s="512"/>
      <c r="I24" s="523" t="s">
        <v>338</v>
      </c>
      <c r="J24" s="524"/>
      <c r="K24" s="525"/>
      <c r="L24" s="500">
        <f>L14+L23</f>
        <v>164726.87129166943</v>
      </c>
      <c r="P24" s="523" t="s">
        <v>338</v>
      </c>
      <c r="Q24" s="524"/>
      <c r="R24" s="525"/>
      <c r="S24" s="500">
        <f>S14+S23</f>
        <v>125986.22052461532</v>
      </c>
      <c r="X24" s="6" t="s">
        <v>332</v>
      </c>
      <c r="Y24" s="917"/>
      <c r="Z24" s="537">
        <f t="shared" ref="Z24:AG24" si="9">Z6/SUM(Z7:Z9)</f>
        <v>0.14852513270574261</v>
      </c>
      <c r="AA24" s="537">
        <f t="shared" si="9"/>
        <v>8.9627235253465345E-2</v>
      </c>
      <c r="AB24" s="537">
        <f t="shared" si="9"/>
        <v>0.19460329545578819</v>
      </c>
      <c r="AC24" s="537">
        <f t="shared" si="9"/>
        <v>5.8317891929243887E-2</v>
      </c>
      <c r="AD24" s="537">
        <f t="shared" si="9"/>
        <v>0.28345323741007189</v>
      </c>
      <c r="AE24" s="537">
        <f t="shared" si="9"/>
        <v>0.20359380151665021</v>
      </c>
      <c r="AF24" s="537">
        <f t="shared" si="9"/>
        <v>8.0452611900390686E-2</v>
      </c>
      <c r="AG24" s="682">
        <f t="shared" si="9"/>
        <v>0.12398845187308723</v>
      </c>
    </row>
    <row r="25" spans="2:33">
      <c r="B25" s="6" t="s">
        <v>341</v>
      </c>
      <c r="C25" s="536">
        <f>$Y$14</f>
        <v>0.12</v>
      </c>
      <c r="D25" s="467"/>
      <c r="E25" s="517">
        <f>C25*E24</f>
        <v>15857.148501377664</v>
      </c>
      <c r="I25" s="6" t="s">
        <v>341</v>
      </c>
      <c r="J25" s="536">
        <f>'Safe &amp; Stable'!$W$23</f>
        <v>0.12</v>
      </c>
      <c r="K25" s="467"/>
      <c r="L25" s="517">
        <f>J25*L24</f>
        <v>19767.224555000332</v>
      </c>
      <c r="P25" s="6" t="s">
        <v>341</v>
      </c>
      <c r="Q25" s="536">
        <f>$Y$14</f>
        <v>0.12</v>
      </c>
      <c r="R25" s="467"/>
      <c r="S25" s="517">
        <f>Q25*S24</f>
        <v>15118.346462953838</v>
      </c>
      <c r="X25" s="6" t="s">
        <v>334</v>
      </c>
      <c r="Y25" s="538">
        <f>AVERAGE(Z25:AG25)</f>
        <v>7.4532576344018553E-2</v>
      </c>
      <c r="Z25" s="537">
        <f t="shared" ref="Z25:AG25" si="10">Z11/SUM(Z7:Z9)</f>
        <v>9.6736764064924471E-2</v>
      </c>
      <c r="AA25" s="537">
        <f t="shared" si="10"/>
        <v>5.8375633487454413E-2</v>
      </c>
      <c r="AB25" s="537">
        <f t="shared" si="10"/>
        <v>0.10703181250068351</v>
      </c>
      <c r="AC25" s="537">
        <f t="shared" si="10"/>
        <v>5.6337284278816749E-2</v>
      </c>
      <c r="AD25" s="537">
        <f t="shared" si="10"/>
        <v>6.4028776978417259E-2</v>
      </c>
      <c r="AE25" s="537">
        <f t="shared" si="10"/>
        <v>6.0377514012528846E-2</v>
      </c>
      <c r="AF25" s="537">
        <f t="shared" si="10"/>
        <v>4.9673392953650315E-2</v>
      </c>
      <c r="AG25" s="682">
        <f t="shared" si="10"/>
        <v>0.10369943247567294</v>
      </c>
    </row>
    <row r="26" spans="2:33" ht="15.75" thickBot="1">
      <c r="B26" s="540" t="s">
        <v>342</v>
      </c>
      <c r="C26" s="541"/>
      <c r="D26" s="542"/>
      <c r="E26" s="543">
        <f>E25+E24</f>
        <v>148000.05267952487</v>
      </c>
      <c r="I26" s="540" t="s">
        <v>342</v>
      </c>
      <c r="J26" s="541"/>
      <c r="K26" s="542"/>
      <c r="L26" s="543">
        <f>L25+L24</f>
        <v>184494.09584666978</v>
      </c>
      <c r="P26" s="540" t="s">
        <v>342</v>
      </c>
      <c r="Q26" s="541"/>
      <c r="R26" s="542"/>
      <c r="S26" s="543">
        <f>S25+S24</f>
        <v>141104.56698756915</v>
      </c>
      <c r="X26" s="6" t="s">
        <v>335</v>
      </c>
      <c r="Y26" s="538">
        <v>0.125</v>
      </c>
      <c r="Z26" s="537"/>
      <c r="AA26" s="918"/>
      <c r="AB26" s="918"/>
      <c r="AC26" s="918"/>
      <c r="AD26" s="918"/>
      <c r="AE26" s="918"/>
      <c r="AF26" s="918"/>
      <c r="AG26" s="919"/>
    </row>
    <row r="27" spans="2:33" ht="16.5" thickTop="1" thickBot="1">
      <c r="B27" s="503" t="s">
        <v>618</v>
      </c>
      <c r="C27" s="668">
        <f>Y31</f>
        <v>2.6565517099262824E-2</v>
      </c>
      <c r="D27" s="505"/>
      <c r="E27" s="506">
        <f>E26*C27</f>
        <v>3931.6979301497167</v>
      </c>
      <c r="I27" s="503" t="s">
        <v>618</v>
      </c>
      <c r="J27" s="668">
        <f>C27</f>
        <v>2.6565517099262824E-2</v>
      </c>
      <c r="K27" s="505"/>
      <c r="L27" s="506">
        <f>L26*J27</f>
        <v>4901.1810579277408</v>
      </c>
      <c r="P27" s="503" t="s">
        <v>618</v>
      </c>
      <c r="Q27" s="668">
        <f>C27</f>
        <v>2.6565517099262824E-2</v>
      </c>
      <c r="R27" s="505"/>
      <c r="S27" s="506">
        <f>Q27*S26</f>
        <v>3748.5157870923449</v>
      </c>
      <c r="X27" s="6"/>
      <c r="Y27" s="1"/>
      <c r="Z27" s="527"/>
      <c r="AA27" s="1"/>
      <c r="AB27" s="1"/>
      <c r="AC27" s="1"/>
      <c r="AD27" s="1"/>
      <c r="AE27" s="1"/>
      <c r="AF27" s="1"/>
      <c r="AG27" s="535"/>
    </row>
    <row r="28" spans="2:33" ht="15.75" thickBot="1">
      <c r="B28" s="553" t="s">
        <v>621</v>
      </c>
      <c r="C28" s="665"/>
      <c r="D28" s="666"/>
      <c r="E28" s="667">
        <f>E27+E26</f>
        <v>151931.75060967458</v>
      </c>
      <c r="I28" s="553" t="s">
        <v>621</v>
      </c>
      <c r="J28" s="665"/>
      <c r="K28" s="666"/>
      <c r="L28" s="667">
        <f>L27+L26</f>
        <v>189395.27690459753</v>
      </c>
      <c r="P28" s="553" t="s">
        <v>621</v>
      </c>
      <c r="Q28" s="665"/>
      <c r="R28" s="666"/>
      <c r="S28" s="667">
        <f>S27+S26</f>
        <v>144853.08277466151</v>
      </c>
      <c r="X28" s="98" t="s">
        <v>336</v>
      </c>
      <c r="Y28" s="845"/>
      <c r="Z28" s="846">
        <v>0.34150000000000003</v>
      </c>
      <c r="AA28" s="846">
        <v>0.21195</v>
      </c>
      <c r="AB28" s="846">
        <v>0.21310000000000001</v>
      </c>
      <c r="AC28" s="846">
        <v>0.28775000000000001</v>
      </c>
      <c r="AD28" s="846">
        <v>0.20979999999999999</v>
      </c>
      <c r="AE28" s="846">
        <v>0.29899999999999999</v>
      </c>
      <c r="AF28" s="847">
        <v>0.16789999999999999</v>
      </c>
      <c r="AG28" s="848">
        <v>0.31219999999999998</v>
      </c>
    </row>
    <row r="29" spans="2:33" ht="15.75" thickBot="1">
      <c r="B29" s="6" t="s">
        <v>343</v>
      </c>
      <c r="C29" s="1"/>
      <c r="D29" s="545"/>
      <c r="E29" s="535">
        <v>10</v>
      </c>
      <c r="I29" s="6" t="s">
        <v>343</v>
      </c>
      <c r="J29" s="1"/>
      <c r="K29" s="545"/>
      <c r="L29" s="535">
        <v>10</v>
      </c>
      <c r="P29" s="6" t="s">
        <v>343</v>
      </c>
      <c r="Q29" s="1"/>
      <c r="R29" s="545"/>
      <c r="S29" s="535">
        <v>10</v>
      </c>
      <c r="X29" s="98"/>
      <c r="Y29" s="845"/>
      <c r="Z29" s="846"/>
      <c r="AA29" s="849"/>
      <c r="AB29" s="849"/>
      <c r="AC29" s="849"/>
      <c r="AD29" s="849"/>
      <c r="AE29" s="849"/>
      <c r="AF29" s="850"/>
      <c r="AG29" s="851"/>
    </row>
    <row r="30" spans="2:33" ht="15.75" thickBot="1">
      <c r="B30" s="6" t="s">
        <v>462</v>
      </c>
      <c r="C30" s="1"/>
      <c r="D30" s="545"/>
      <c r="E30" s="669">
        <f>2080*(1-0.154)</f>
        <v>1759.6799999999998</v>
      </c>
      <c r="I30" s="6" t="s">
        <v>462</v>
      </c>
      <c r="J30" s="1"/>
      <c r="K30" s="545"/>
      <c r="L30" s="669">
        <f>2080*(1-0.154)</f>
        <v>1759.6799999999998</v>
      </c>
      <c r="P30" s="6" t="s">
        <v>462</v>
      </c>
      <c r="Q30" s="1"/>
      <c r="R30" s="545"/>
      <c r="S30" s="669">
        <f>2080*(1-0.154)</f>
        <v>1759.6799999999998</v>
      </c>
      <c r="X30" s="98"/>
      <c r="Y30" s="845"/>
      <c r="Z30" s="846"/>
      <c r="AA30" s="849"/>
      <c r="AB30" s="849"/>
      <c r="AC30" s="849"/>
      <c r="AD30" s="849"/>
      <c r="AE30" s="849"/>
      <c r="AF30" s="850"/>
      <c r="AG30" s="851"/>
    </row>
    <row r="31" spans="2:33" ht="16.5" thickBot="1">
      <c r="B31" s="6" t="s">
        <v>344</v>
      </c>
      <c r="C31" s="504"/>
      <c r="E31" s="548">
        <f>E28/365</f>
        <v>416.25137153335498</v>
      </c>
      <c r="I31" s="6" t="s">
        <v>344</v>
      </c>
      <c r="J31" s="504"/>
      <c r="K31" s="505"/>
      <c r="L31" s="548">
        <f>L28/365</f>
        <v>518.8911696016371</v>
      </c>
      <c r="P31" s="6" t="s">
        <v>344</v>
      </c>
      <c r="Q31" s="504"/>
      <c r="R31" s="505"/>
      <c r="S31" s="548">
        <f>S28/365</f>
        <v>396.85776102646992</v>
      </c>
      <c r="X31" s="906" t="s">
        <v>674</v>
      </c>
      <c r="Y31" s="913">
        <f>'2023 FALL CAF'!CR29</f>
        <v>2.6565517099262824E-2</v>
      </c>
      <c r="Z31" s="771" t="s">
        <v>713</v>
      </c>
      <c r="AA31" s="772"/>
      <c r="AB31" s="773"/>
      <c r="AC31" s="554"/>
      <c r="AD31" s="554"/>
      <c r="AE31" s="554"/>
      <c r="AF31" s="554"/>
      <c r="AG31" s="555"/>
    </row>
    <row r="32" spans="2:33" ht="15.75" customHeight="1" thickBot="1">
      <c r="B32" s="549"/>
      <c r="C32" s="550"/>
      <c r="D32" s="551"/>
      <c r="E32" s="552">
        <f>E31</f>
        <v>416.25137153335498</v>
      </c>
      <c r="I32" s="549"/>
      <c r="J32" s="550"/>
      <c r="K32" s="551"/>
      <c r="L32" s="552">
        <f>L31</f>
        <v>518.8911696016371</v>
      </c>
      <c r="P32" s="549"/>
      <c r="Q32" s="550"/>
      <c r="R32" s="551"/>
      <c r="S32" s="552">
        <f>S31</f>
        <v>396.85776102646992</v>
      </c>
    </row>
    <row r="33" spans="2:39">
      <c r="B33" s="1110" t="s">
        <v>345</v>
      </c>
      <c r="C33" s="1111"/>
      <c r="D33" s="1112" t="s">
        <v>346</v>
      </c>
      <c r="E33" s="1113"/>
      <c r="I33" s="1110" t="s">
        <v>345</v>
      </c>
      <c r="J33" s="1111"/>
      <c r="K33" s="1112" t="s">
        <v>346</v>
      </c>
      <c r="L33" s="1113"/>
      <c r="P33" s="1110" t="s">
        <v>345</v>
      </c>
      <c r="Q33" s="1111"/>
      <c r="R33" s="1112" t="s">
        <v>346</v>
      </c>
      <c r="S33" s="1113"/>
    </row>
    <row r="34" spans="2:39" ht="15" customHeight="1" thickBot="1">
      <c r="B34" s="461" t="s">
        <v>470</v>
      </c>
      <c r="C34" s="462"/>
      <c r="D34" s="563" t="s">
        <v>347</v>
      </c>
      <c r="E34" s="557">
        <f>E28/E30</f>
        <v>86.340556583966745</v>
      </c>
      <c r="I34" s="461" t="s">
        <v>468</v>
      </c>
      <c r="J34" s="462"/>
      <c r="K34" s="556" t="s">
        <v>528</v>
      </c>
      <c r="L34" s="557">
        <f>L28/L30</f>
        <v>107.63052197251633</v>
      </c>
      <c r="P34" s="461" t="s">
        <v>469</v>
      </c>
      <c r="Q34" s="462"/>
      <c r="R34" s="556" t="s">
        <v>528</v>
      </c>
      <c r="S34" s="557">
        <f>S28/S30</f>
        <v>82.317854822843657</v>
      </c>
    </row>
    <row r="35" spans="2:39" ht="15.95" customHeight="1">
      <c r="B35" s="474"/>
      <c r="C35" s="475"/>
      <c r="D35" s="558" t="s">
        <v>348</v>
      </c>
      <c r="E35" s="559">
        <f>E32/E29</f>
        <v>41.625137153335501</v>
      </c>
      <c r="I35" s="474"/>
      <c r="J35" s="475"/>
      <c r="K35" s="558" t="s">
        <v>348</v>
      </c>
      <c r="L35" s="559">
        <f>L32/L29</f>
        <v>51.889116960163712</v>
      </c>
      <c r="P35" s="474"/>
      <c r="Q35" s="475"/>
      <c r="R35" s="558" t="s">
        <v>348</v>
      </c>
      <c r="S35" s="559">
        <f>S32/S29</f>
        <v>39.68577610264699</v>
      </c>
      <c r="AI35" s="1"/>
      <c r="AJ35" s="1"/>
      <c r="AK35" s="1"/>
      <c r="AL35" s="1"/>
    </row>
    <row r="36" spans="2:39" ht="15.95" customHeight="1">
      <c r="B36" s="474"/>
      <c r="C36" s="475"/>
      <c r="D36" s="560" t="s">
        <v>349</v>
      </c>
      <c r="E36" s="562">
        <f>E32*365/12</f>
        <v>12660.979217472881</v>
      </c>
      <c r="I36" s="474"/>
      <c r="J36" s="475"/>
      <c r="K36" s="560" t="s">
        <v>349</v>
      </c>
      <c r="L36" s="562">
        <f>L32*365/12</f>
        <v>15782.939742049793</v>
      </c>
      <c r="P36" s="474"/>
      <c r="Q36" s="475"/>
      <c r="R36" s="560" t="s">
        <v>349</v>
      </c>
      <c r="S36" s="562">
        <f>S32*365/12</f>
        <v>12071.090231221793</v>
      </c>
      <c r="AH36" s="1"/>
    </row>
    <row r="37" spans="2:39" ht="15.95" customHeight="1">
      <c r="B37" s="474"/>
      <c r="C37" s="475"/>
      <c r="D37" s="560" t="s">
        <v>350</v>
      </c>
      <c r="E37" s="562">
        <f>E32*365/4</f>
        <v>37982.937652418645</v>
      </c>
      <c r="I37" s="474"/>
      <c r="J37" s="475"/>
      <c r="K37" s="560" t="s">
        <v>350</v>
      </c>
      <c r="L37" s="562">
        <f>L32*365/4</f>
        <v>47348.819226149382</v>
      </c>
      <c r="P37" s="474"/>
      <c r="Q37" s="475"/>
      <c r="R37" s="560" t="s">
        <v>350</v>
      </c>
      <c r="S37" s="562">
        <f>S32*365/4</f>
        <v>36213.270693665378</v>
      </c>
      <c r="X37" s="1"/>
      <c r="Y37" s="1"/>
      <c r="Z37" s="1"/>
      <c r="AA37" s="1"/>
      <c r="AB37" s="1"/>
      <c r="AC37" s="1"/>
      <c r="AD37" s="1"/>
      <c r="AE37" s="1"/>
      <c r="AF37" s="1"/>
      <c r="AG37" s="1"/>
      <c r="AM37" s="1"/>
    </row>
    <row r="38" spans="2:39" ht="15.95" customHeight="1">
      <c r="B38" s="474"/>
      <c r="C38" s="475"/>
      <c r="D38" s="560" t="s">
        <v>351</v>
      </c>
      <c r="E38" s="562">
        <f>E32*365/2</f>
        <v>75965.875304837289</v>
      </c>
      <c r="I38" s="474"/>
      <c r="J38" s="475"/>
      <c r="K38" s="560" t="s">
        <v>351</v>
      </c>
      <c r="L38" s="562">
        <f>L32*365/2</f>
        <v>94697.638452298765</v>
      </c>
      <c r="P38" s="474"/>
      <c r="Q38" s="475"/>
      <c r="R38" s="560" t="s">
        <v>351</v>
      </c>
      <c r="S38" s="562">
        <f>S32*365/2</f>
        <v>72426.541387330755</v>
      </c>
    </row>
    <row r="39" spans="2:39" s="1" customFormat="1" ht="15.95" customHeight="1" thickBot="1">
      <c r="B39" s="461"/>
      <c r="C39" s="462"/>
      <c r="D39" s="563" t="s">
        <v>352</v>
      </c>
      <c r="E39" s="564">
        <f>E32*365</f>
        <v>151931.75060967458</v>
      </c>
      <c r="F39"/>
      <c r="G39"/>
      <c r="H39"/>
      <c r="I39" s="461"/>
      <c r="J39" s="462"/>
      <c r="K39" s="563" t="s">
        <v>352</v>
      </c>
      <c r="L39" s="564">
        <f>L32*365</f>
        <v>189395.27690459753</v>
      </c>
      <c r="M39"/>
      <c r="N39"/>
      <c r="O39"/>
      <c r="P39" s="461"/>
      <c r="Q39" s="462"/>
      <c r="R39" s="563" t="s">
        <v>352</v>
      </c>
      <c r="S39" s="564">
        <f>S32*365</f>
        <v>144853.08277466151</v>
      </c>
      <c r="T39"/>
      <c r="U39"/>
      <c r="V39"/>
      <c r="W39"/>
      <c r="X39"/>
      <c r="Y39"/>
      <c r="Z39"/>
      <c r="AA39"/>
      <c r="AB39"/>
      <c r="AC39"/>
      <c r="AD39"/>
      <c r="AE39"/>
      <c r="AF39"/>
      <c r="AG39"/>
      <c r="AH39"/>
      <c r="AI39"/>
      <c r="AJ39"/>
      <c r="AK39"/>
      <c r="AL39"/>
      <c r="AM39"/>
    </row>
    <row r="41" spans="2:39">
      <c r="F41" s="518"/>
    </row>
    <row r="85" ht="14.45" customHeight="1"/>
    <row r="90" ht="15.6" customHeight="1"/>
  </sheetData>
  <mergeCells count="16">
    <mergeCell ref="P1:S1"/>
    <mergeCell ref="P2:S2"/>
    <mergeCell ref="P33:Q33"/>
    <mergeCell ref="B1:E1"/>
    <mergeCell ref="B2:E2"/>
    <mergeCell ref="B33:C33"/>
    <mergeCell ref="D33:E33"/>
    <mergeCell ref="I1:L1"/>
    <mergeCell ref="I2:L2"/>
    <mergeCell ref="X3:AG3"/>
    <mergeCell ref="X4:Y5"/>
    <mergeCell ref="Z4:AG4"/>
    <mergeCell ref="X12:Y12"/>
    <mergeCell ref="I33:J33"/>
    <mergeCell ref="K33:L33"/>
    <mergeCell ref="R33:S33"/>
  </mergeCells>
  <pageMargins left="0.7" right="0.7" top="0.75" bottom="0.75" header="0.3" footer="0.3"/>
  <pageSetup orientation="portrait" r:id="rId1"/>
  <ignoredErrors>
    <ignoredError sqref="C7 J7 E27 L27 S26" formula="1"/>
    <ignoredError sqref="K4:L7 K9:L9 K8 Z25:AG25" formulaRange="1"/>
    <ignoredError sqref="L8" formula="1" formulaRange="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b35b3f0-7ec4-438f-9e40-6bfc2190e3e3" xsi:nil="true"/>
    <lcf76f155ced4ddcb4097134ff3c332f xmlns="9e90a8f6-234e-4335-8206-e7cdd142392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4B5B54130458E43B761E620AC77E765" ma:contentTypeVersion="14" ma:contentTypeDescription="Create a new document." ma:contentTypeScope="" ma:versionID="7f035366d325f86630dd1ae0e99cf63e">
  <xsd:schema xmlns:xsd="http://www.w3.org/2001/XMLSchema" xmlns:xs="http://www.w3.org/2001/XMLSchema" xmlns:p="http://schemas.microsoft.com/office/2006/metadata/properties" xmlns:ns2="db35b3f0-7ec4-438f-9e40-6bfc2190e3e3" xmlns:ns3="9e90a8f6-234e-4335-8206-e7cdd1423929" targetNamespace="http://schemas.microsoft.com/office/2006/metadata/properties" ma:root="true" ma:fieldsID="de9c4e5f367c938743708d37082de258" ns2:_="" ns3:_="">
    <xsd:import namespace="db35b3f0-7ec4-438f-9e40-6bfc2190e3e3"/>
    <xsd:import namespace="9e90a8f6-234e-4335-8206-e7cdd142392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35b3f0-7ec4-438f-9e40-6bfc2190e3e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f9ca2721-e700-41b1-8546-29b29adc19aa}" ma:internalName="TaxCatchAll" ma:showField="CatchAllData" ma:web="db35b3f0-7ec4-438f-9e40-6bfc2190e3e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e90a8f6-234e-4335-8206-e7cdd142392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9B0AE5-A389-4F44-B36F-5EA59DB675ED}">
  <ds:schemaRefs>
    <ds:schemaRef ds:uri="http://purl.org/dc/terms/"/>
    <ds:schemaRef ds:uri="http://schemas.microsoft.com/office/2006/documentManagement/types"/>
    <ds:schemaRef ds:uri="cfc75f73-119e-4b39-80a6-b85a83953c47"/>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697a0d55-2bb5-48be-819f-389c802a5098"/>
    <ds:schemaRef ds:uri="fe70c366-79ca-4ecf-8eb3-18fec61c0f88"/>
    <ds:schemaRef ds:uri="http://www.w3.org/XML/1998/namespace"/>
    <ds:schemaRef ds:uri="http://purl.org/dc/dcmitype/"/>
    <ds:schemaRef ds:uri="db35b3f0-7ec4-438f-9e40-6bfc2190e3e3"/>
    <ds:schemaRef ds:uri="9e90a8f6-234e-4335-8206-e7cdd1423929"/>
  </ds:schemaRefs>
</ds:datastoreItem>
</file>

<file path=customXml/itemProps2.xml><?xml version="1.0" encoding="utf-8"?>
<ds:datastoreItem xmlns:ds="http://schemas.openxmlformats.org/officeDocument/2006/customXml" ds:itemID="{AAE0AD8C-E9A2-4600-AEAA-277EC03CF3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35b3f0-7ec4-438f-9e40-6bfc2190e3e3"/>
    <ds:schemaRef ds:uri="9e90a8f6-234e-4335-8206-e7cdd14239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B23F15-B321-46A6-B94E-D4DF592A69A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12</vt:i4>
      </vt:variant>
    </vt:vector>
  </HeadingPairs>
  <TitlesOfParts>
    <vt:vector size="38" baseType="lpstr">
      <vt:lpstr>2023 FALL CAF</vt:lpstr>
      <vt:lpstr>2023 SPRING CAF</vt:lpstr>
      <vt:lpstr>FALL CAF 2022</vt:lpstr>
      <vt:lpstr>M2022 BLS SALARY CHART (53_PCT)</vt:lpstr>
      <vt:lpstr>M2021 BLS  SALARY CHART</vt:lpstr>
      <vt:lpstr>Spring 2022 CAF</vt:lpstr>
      <vt:lpstr>FY20 UFR Data</vt:lpstr>
      <vt:lpstr>Safe &amp; Stable</vt:lpstr>
      <vt:lpstr>Prep Support</vt:lpstr>
      <vt:lpstr>Therapeutic</vt:lpstr>
      <vt:lpstr>Substance Use Interventions CW</vt:lpstr>
      <vt:lpstr>Youth Support</vt:lpstr>
      <vt:lpstr>Evidenced Based</vt:lpstr>
      <vt:lpstr>Family Crisis</vt:lpstr>
      <vt:lpstr>Respite</vt:lpstr>
      <vt:lpstr>Assessment Services</vt:lpstr>
      <vt:lpstr>Mediation Services</vt:lpstr>
      <vt:lpstr>Comprehensive Services</vt:lpstr>
      <vt:lpstr>Child Welfare Groups</vt:lpstr>
      <vt:lpstr>Child Welfare Specialty Groups</vt:lpstr>
      <vt:lpstr>Rate Chart</vt:lpstr>
      <vt:lpstr>Parent Skill Dev Group</vt:lpstr>
      <vt:lpstr>Family Skills Dev Group</vt:lpstr>
      <vt:lpstr>Specialty Family Skills Group</vt:lpstr>
      <vt:lpstr>Clinical Comp</vt:lpstr>
      <vt:lpstr>CURRENT RATES</vt:lpstr>
      <vt:lpstr>'Child Welfare Groups'!Print_Area</vt:lpstr>
      <vt:lpstr>'Child Welfare Specialty Groups'!Print_Area</vt:lpstr>
      <vt:lpstr>'Clinical Comp'!Print_Area</vt:lpstr>
      <vt:lpstr>'Family Skills Dev Group'!Print_Area</vt:lpstr>
      <vt:lpstr>'M2021 BLS  SALARY CHART'!Print_Area</vt:lpstr>
      <vt:lpstr>'M2022 BLS SALARY CHART (53_PCT)'!Print_Area</vt:lpstr>
      <vt:lpstr>'Parent Skill Dev Group'!Print_Area</vt:lpstr>
      <vt:lpstr>'Specialty Family Skills Group'!Print_Area</vt:lpstr>
      <vt:lpstr>'2023 FALL CAF'!Print_Titles</vt:lpstr>
      <vt:lpstr>'2023 SPRING CAF'!Print_Titles</vt:lpstr>
      <vt:lpstr>'FALL CAF 2022'!Print_Titles</vt:lpstr>
      <vt:lpstr>'Spring 2022 CAF'!Print_Titles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EHS</dc:creator>
  <cp:keywords/>
  <dc:description/>
  <cp:lastModifiedBy>Harrison, Deborah (EHS)</cp:lastModifiedBy>
  <cp:revision/>
  <dcterms:created xsi:type="dcterms:W3CDTF">2021-11-17T16:09:14Z</dcterms:created>
  <dcterms:modified xsi:type="dcterms:W3CDTF">2024-06-26T14:02:26Z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0x01010024B5B54130458E43B761E620AC77E765</vt:lpwstr>
  </property>
  <property fmtid="{D5CDD505-2E9C-101B-9397-08002B2CF9AE}" pid="3" name="_dlc_DocIdItemGuid">
    <vt:lpwstr>bc0f2d01-39f8-4195-8b5e-e6740d4fcfe4</vt:lpwstr>
  </property>
  <property fmtid="{D5CDD505-2E9C-101B-9397-08002B2CF9AE}" pid="4" name="MediaServiceImageTags">
    <vt:lpwstr/>
  </property>
</Properties>
</file>