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kaela_konefal_mass_gov/Documents/Desktop/1115/Extension/Amendment 2023/Amendment to CMS 10-16-23/"/>
    </mc:Choice>
  </mc:AlternateContent>
  <xr:revisionPtr revIDLastSave="0" documentId="8_{226CA1B5-A218-40A5-901D-7C2CD935EDDB}" xr6:coauthVersionLast="45" xr6:coauthVersionMax="45" xr10:uidLastSave="{00000000-0000-0000-0000-000000000000}"/>
  <bookViews>
    <workbookView xWindow="-110" yWindow="-110" windowWidth="19420" windowHeight="10420" activeTab="1" xr2:uid="{4A905CFB-BE4A-445D-A35A-2656C18F97B1}"/>
  </bookViews>
  <sheets>
    <sheet name="BN Worksheet" sheetId="17" r:id="rId1"/>
    <sheet name="Amendments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Fill" hidden="1">#REF!</definedName>
    <definedName name="_Key1" hidden="1">#REF!</definedName>
    <definedName name="_Order1" hidden="1">0</definedName>
    <definedName name="_Order2" hidden="1">0</definedName>
    <definedName name="_qry07012011">#REF!</definedName>
    <definedName name="AccessDatabase" hidden="1">"G:\1_Intellectual Capital\Claims Probability Distributions\Version 2 (New NC)\RateRanges_4.mdb"</definedName>
    <definedName name="Act_Proj">[2]Dropdowns!$A$14:$A$15</definedName>
    <definedName name="caseload">'[3]LT Forecast'!$A$127:$N$131</definedName>
    <definedName name="DY_List">'[2]DY Def'!$B$5:$AE$5</definedName>
    <definedName name="GRPCODE">'[4]Caseload by group'!#REF!</definedName>
    <definedName name="MAP_ADM">[2]Dropdowns!$A$18:$A$19</definedName>
    <definedName name="non_cap">#REF!</definedName>
    <definedName name="Per_Capita_Aggregate">[2]Dropdowns!$A$6:$A$7</definedName>
    <definedName name="Phase_Down">[2]Dropdowns!$A$10:$A$11</definedName>
    <definedName name="PopCache_GL_INTERFACE_REFERENCE7" hidden="1">[5]PopCache!$A$1:$A$2</definedName>
    <definedName name="PopStatus">#REF!</definedName>
    <definedName name="_xlnm.Print_Area" localSheetId="0">'BN Worksheet'!$D$116:$I$203</definedName>
    <definedName name="_xlnm.Print_Titles" localSheetId="0">'BN Worksheet'!$A:$A,'BN Worksheet'!$3:$5</definedName>
    <definedName name="Waiver_List">[2]Dropdowns!$C$2:$C$117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kairen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renewal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Yes__No">[2]Dropdowns!$A$2:$A$3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6" l="1"/>
  <c r="H133" i="17"/>
  <c r="G133" i="17"/>
  <c r="F133" i="17"/>
  <c r="E133" i="17"/>
  <c r="I133" i="17" s="1"/>
  <c r="H90" i="17"/>
  <c r="G90" i="17"/>
  <c r="F90" i="17"/>
  <c r="E90" i="17"/>
  <c r="E125" i="17"/>
  <c r="I90" i="17" l="1"/>
  <c r="H134" i="17"/>
  <c r="G134" i="17"/>
  <c r="F134" i="17"/>
  <c r="H125" i="17" l="1"/>
  <c r="G125" i="17"/>
  <c r="F125" i="17"/>
  <c r="I134" i="17" l="1"/>
  <c r="H91" i="17"/>
  <c r="G91" i="17"/>
  <c r="F91" i="17"/>
  <c r="I91" i="17" l="1"/>
  <c r="I168" i="17" l="1"/>
  <c r="I167" i="17"/>
  <c r="I166" i="17"/>
  <c r="I165" i="17"/>
  <c r="I164" i="17"/>
  <c r="I163" i="17"/>
  <c r="I161" i="17"/>
  <c r="I160" i="17"/>
  <c r="I159" i="17"/>
  <c r="I158" i="17"/>
  <c r="I157" i="17"/>
  <c r="I156" i="17"/>
  <c r="I141" i="17"/>
  <c r="I140" i="17"/>
  <c r="I139" i="17"/>
  <c r="I138" i="17"/>
  <c r="I137" i="17"/>
  <c r="I136" i="17"/>
  <c r="I135" i="17"/>
  <c r="H132" i="17"/>
  <c r="G132" i="17"/>
  <c r="F132" i="17"/>
  <c r="E132" i="17"/>
  <c r="D132" i="17"/>
  <c r="C132" i="17"/>
  <c r="I131" i="17"/>
  <c r="I129" i="17"/>
  <c r="I128" i="17"/>
  <c r="I126" i="17"/>
  <c r="H98" i="17"/>
  <c r="G98" i="17"/>
  <c r="F98" i="17"/>
  <c r="E98" i="17"/>
  <c r="D98" i="17"/>
  <c r="H97" i="17"/>
  <c r="G97" i="17"/>
  <c r="F97" i="17"/>
  <c r="E97" i="17"/>
  <c r="D97" i="17"/>
  <c r="H96" i="17"/>
  <c r="G96" i="17"/>
  <c r="F96" i="17"/>
  <c r="E96" i="17"/>
  <c r="D96" i="17"/>
  <c r="H95" i="17"/>
  <c r="G95" i="17"/>
  <c r="F95" i="17"/>
  <c r="E95" i="17"/>
  <c r="D95" i="17"/>
  <c r="H94" i="17"/>
  <c r="G94" i="17"/>
  <c r="F94" i="17"/>
  <c r="E94" i="17"/>
  <c r="D94" i="17"/>
  <c r="H93" i="17"/>
  <c r="G93" i="17"/>
  <c r="F93" i="17"/>
  <c r="E93" i="17"/>
  <c r="D93" i="17"/>
  <c r="H92" i="17"/>
  <c r="G92" i="17"/>
  <c r="F92" i="17"/>
  <c r="E92" i="17"/>
  <c r="D92" i="17"/>
  <c r="H89" i="17"/>
  <c r="G89" i="17"/>
  <c r="F89" i="17"/>
  <c r="E89" i="17"/>
  <c r="D89" i="17"/>
  <c r="I88" i="17"/>
  <c r="D87" i="17"/>
  <c r="C87" i="17"/>
  <c r="H86" i="17"/>
  <c r="G86" i="17"/>
  <c r="F86" i="17"/>
  <c r="E86" i="17"/>
  <c r="D86" i="17"/>
  <c r="C86" i="17"/>
  <c r="H85" i="17"/>
  <c r="G85" i="17"/>
  <c r="F85" i="17"/>
  <c r="E85" i="17"/>
  <c r="D85" i="17"/>
  <c r="C85" i="17"/>
  <c r="E84" i="17"/>
  <c r="D84" i="17"/>
  <c r="C84" i="17"/>
  <c r="H83" i="17"/>
  <c r="G83" i="17"/>
  <c r="F83" i="17"/>
  <c r="E83" i="17"/>
  <c r="D83" i="17"/>
  <c r="C83" i="17"/>
  <c r="D82" i="17"/>
  <c r="C82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G69" i="17"/>
  <c r="H69" i="17" s="1"/>
  <c r="E69" i="17"/>
  <c r="G67" i="17"/>
  <c r="H67" i="17" s="1"/>
  <c r="H65" i="17"/>
  <c r="G65" i="17"/>
  <c r="F65" i="17"/>
  <c r="H64" i="17"/>
  <c r="G64" i="17"/>
  <c r="F64" i="17"/>
  <c r="H63" i="17"/>
  <c r="G63" i="17"/>
  <c r="F63" i="17"/>
  <c r="H62" i="17"/>
  <c r="G62" i="17"/>
  <c r="F62" i="17"/>
  <c r="H61" i="17"/>
  <c r="G61" i="17"/>
  <c r="F61" i="17"/>
  <c r="H35" i="17" l="1"/>
  <c r="H106" i="17" s="1"/>
  <c r="H149" i="17"/>
  <c r="H36" i="17"/>
  <c r="E15" i="17"/>
  <c r="E82" i="17" s="1"/>
  <c r="H150" i="17"/>
  <c r="I86" i="17"/>
  <c r="I97" i="17"/>
  <c r="I83" i="17"/>
  <c r="D79" i="17"/>
  <c r="D113" i="17" s="1"/>
  <c r="D171" i="17" s="1"/>
  <c r="I132" i="17"/>
  <c r="I98" i="17"/>
  <c r="I93" i="17"/>
  <c r="I85" i="17"/>
  <c r="I94" i="17"/>
  <c r="I89" i="17"/>
  <c r="I92" i="17"/>
  <c r="I96" i="17"/>
  <c r="I95" i="17"/>
  <c r="H107" i="17"/>
  <c r="E79" i="17"/>
  <c r="E113" i="17" s="1"/>
  <c r="E171" i="17" s="1"/>
  <c r="C79" i="17"/>
  <c r="C113" i="17" l="1"/>
  <c r="C171" i="17" s="1"/>
  <c r="F37" i="17" l="1"/>
  <c r="H109" i="17"/>
  <c r="H152" i="17" s="1"/>
  <c r="H37" i="17"/>
  <c r="G109" i="17"/>
  <c r="G152" i="17" s="1"/>
  <c r="G37" i="17"/>
  <c r="F109" i="17"/>
  <c r="F152" i="17" l="1"/>
  <c r="I152" i="17" s="1"/>
  <c r="I109" i="17"/>
  <c r="F70" i="17" l="1"/>
  <c r="F108" i="17" s="1"/>
  <c r="G70" i="17"/>
  <c r="G108" i="17" s="1"/>
  <c r="G151" i="17" l="1"/>
  <c r="F151" i="17"/>
  <c r="H70" i="17" l="1"/>
  <c r="H108" i="17" s="1"/>
  <c r="I108" i="17" s="1"/>
  <c r="H151" i="17"/>
  <c r="I151" i="17" s="1"/>
  <c r="E150" i="17" l="1"/>
  <c r="G36" i="17"/>
  <c r="G107" i="17" s="1"/>
  <c r="G35" i="17"/>
  <c r="G106" i="17" s="1"/>
  <c r="F149" i="17"/>
  <c r="F150" i="17"/>
  <c r="E149" i="17"/>
  <c r="E35" i="17"/>
  <c r="E106" i="17" s="1"/>
  <c r="E36" i="17"/>
  <c r="E107" i="17" s="1"/>
  <c r="I107" i="17" s="1"/>
  <c r="F35" i="17"/>
  <c r="F106" i="17" s="1"/>
  <c r="F36" i="17"/>
  <c r="F107" i="17" s="1"/>
  <c r="I106" i="17" l="1"/>
  <c r="G149" i="17"/>
  <c r="I149" i="17" s="1"/>
  <c r="G150" i="17"/>
  <c r="I150" i="17" s="1"/>
  <c r="G8" i="17" l="1"/>
  <c r="G74" i="17" s="1"/>
  <c r="F10" i="17"/>
  <c r="F76" i="17" s="1"/>
  <c r="H11" i="17"/>
  <c r="H77" i="17" s="1"/>
  <c r="F12" i="17"/>
  <c r="F78" i="17" s="1"/>
  <c r="H12" i="17"/>
  <c r="H78" i="17" s="1"/>
  <c r="H8" i="17"/>
  <c r="H74" i="17" s="1"/>
  <c r="H10" i="17"/>
  <c r="H76" i="17" s="1"/>
  <c r="F11" i="17"/>
  <c r="F77" i="17" s="1"/>
  <c r="H9" i="17"/>
  <c r="H75" i="17" s="1"/>
  <c r="G11" i="17"/>
  <c r="G77" i="17" s="1"/>
  <c r="G10" i="17"/>
  <c r="G76" i="17" s="1"/>
  <c r="G12" i="17"/>
  <c r="G78" i="17" s="1"/>
  <c r="G9" i="17"/>
  <c r="G75" i="17" s="1"/>
  <c r="F8" i="17"/>
  <c r="F74" i="17" s="1"/>
  <c r="F9" i="17"/>
  <c r="F75" i="17" s="1"/>
  <c r="H79" i="17" l="1"/>
  <c r="H113" i="17" s="1"/>
  <c r="I77" i="17"/>
  <c r="I78" i="17"/>
  <c r="I76" i="17"/>
  <c r="I75" i="17"/>
  <c r="G79" i="17"/>
  <c r="G113" i="17" s="1"/>
  <c r="F79" i="17"/>
  <c r="I74" i="17"/>
  <c r="F113" i="17" l="1"/>
  <c r="I79" i="17"/>
  <c r="I113" i="17" s="1"/>
  <c r="H15" i="17"/>
  <c r="H82" i="17" s="1"/>
  <c r="F15" i="17"/>
  <c r="F82" i="17" s="1"/>
  <c r="F119" i="17"/>
  <c r="F118" i="17"/>
  <c r="F120" i="17"/>
  <c r="H28" i="17"/>
  <c r="H99" i="17" s="1"/>
  <c r="H142" i="17" s="1"/>
  <c r="F121" i="17"/>
  <c r="H34" i="17"/>
  <c r="H105" i="17" s="1"/>
  <c r="H148" i="17" s="1"/>
  <c r="F28" i="17"/>
  <c r="F99" i="17" s="1"/>
  <c r="F142" i="17" l="1"/>
  <c r="F31" i="17"/>
  <c r="F102" i="17" s="1"/>
  <c r="G30" i="17"/>
  <c r="G101" i="17" s="1"/>
  <c r="G144" i="17" s="1"/>
  <c r="G31" i="17"/>
  <c r="G102" i="17" s="1"/>
  <c r="G145" i="17" s="1"/>
  <c r="G34" i="17"/>
  <c r="G105" i="17" s="1"/>
  <c r="G148" i="17" s="1"/>
  <c r="G28" i="17"/>
  <c r="G99" i="17" s="1"/>
  <c r="G142" i="17" s="1"/>
  <c r="H31" i="17"/>
  <c r="H102" i="17" s="1"/>
  <c r="H145" i="17" s="1"/>
  <c r="F17" i="17"/>
  <c r="F84" i="17" s="1"/>
  <c r="F33" i="17"/>
  <c r="F104" i="17" s="1"/>
  <c r="F155" i="17"/>
  <c r="G122" i="17"/>
  <c r="F122" i="17"/>
  <c r="F171" i="17" s="1"/>
  <c r="F34" i="17"/>
  <c r="F105" i="17" s="1"/>
  <c r="F29" i="17"/>
  <c r="F100" i="17" s="1"/>
  <c r="H33" i="17"/>
  <c r="H104" i="17" s="1"/>
  <c r="H147" i="17" s="1"/>
  <c r="G29" i="17"/>
  <c r="G100" i="17" s="1"/>
  <c r="G143" i="17" s="1"/>
  <c r="H32" i="17"/>
  <c r="H103" i="17" s="1"/>
  <c r="H146" i="17" s="1"/>
  <c r="F30" i="17"/>
  <c r="F101" i="17" s="1"/>
  <c r="G32" i="17"/>
  <c r="G103" i="17" s="1"/>
  <c r="G146" i="17" s="1"/>
  <c r="H30" i="17"/>
  <c r="H101" i="17" s="1"/>
  <c r="H144" i="17" s="1"/>
  <c r="F127" i="17"/>
  <c r="H17" i="17"/>
  <c r="H84" i="17" s="1"/>
  <c r="F32" i="17"/>
  <c r="F103" i="17" s="1"/>
  <c r="H29" i="17"/>
  <c r="H100" i="17" s="1"/>
  <c r="H143" i="17" s="1"/>
  <c r="G127" i="17"/>
  <c r="G33" i="17"/>
  <c r="G104" i="17" s="1"/>
  <c r="G147" i="17" s="1"/>
  <c r="G17" i="17"/>
  <c r="G84" i="17" s="1"/>
  <c r="G15" i="17"/>
  <c r="G82" i="17" s="1"/>
  <c r="I82" i="17" s="1"/>
  <c r="F146" i="17" l="1"/>
  <c r="I146" i="17" s="1"/>
  <c r="I103" i="17"/>
  <c r="H122" i="17"/>
  <c r="I122" i="17" s="1"/>
  <c r="H155" i="17"/>
  <c r="H127" i="17"/>
  <c r="I127" i="17" s="1"/>
  <c r="F144" i="17"/>
  <c r="I144" i="17" s="1"/>
  <c r="I101" i="17"/>
  <c r="F143" i="17"/>
  <c r="I143" i="17" s="1"/>
  <c r="I100" i="17"/>
  <c r="I104" i="17"/>
  <c r="F147" i="17"/>
  <c r="I147" i="17" s="1"/>
  <c r="F145" i="17"/>
  <c r="I145" i="17" s="1"/>
  <c r="I102" i="17"/>
  <c r="G118" i="17"/>
  <c r="H121" i="17"/>
  <c r="F148" i="17"/>
  <c r="I148" i="17" s="1"/>
  <c r="I105" i="17"/>
  <c r="I84" i="17"/>
  <c r="G121" i="17"/>
  <c r="G120" i="17"/>
  <c r="G119" i="17"/>
  <c r="I99" i="17"/>
  <c r="H118" i="17"/>
  <c r="G155" i="17"/>
  <c r="H120" i="17"/>
  <c r="H119" i="17"/>
  <c r="I142" i="17"/>
  <c r="I119" i="17" l="1"/>
  <c r="I155" i="17"/>
  <c r="I120" i="17"/>
  <c r="H171" i="17"/>
  <c r="G171" i="17"/>
  <c r="I171" i="17" s="1"/>
  <c r="I173" i="17" s="1"/>
  <c r="I175" i="17" s="1"/>
  <c r="I177" i="17" s="1"/>
  <c r="I118" i="17"/>
  <c r="I121" i="17"/>
  <c r="I125" i="17" l="1"/>
  <c r="E20" i="17" l="1"/>
  <c r="G130" i="17"/>
  <c r="E130" i="17"/>
  <c r="G20" i="17" l="1"/>
  <c r="F20" i="17"/>
  <c r="H20" i="17"/>
  <c r="F130" i="17"/>
  <c r="G53" i="17" l="1"/>
  <c r="G87" i="17" s="1"/>
  <c r="E53" i="17"/>
  <c r="E87" i="17" s="1"/>
  <c r="H130" i="17"/>
  <c r="I130" i="17" s="1"/>
  <c r="H53" i="17" l="1"/>
  <c r="H87" i="17" s="1"/>
  <c r="F53" i="17"/>
  <c r="F87" i="17" s="1"/>
  <c r="I87" i="17" s="1"/>
  <c r="E162" i="17" l="1"/>
  <c r="F162" i="17" l="1"/>
  <c r="G162" i="17" l="1"/>
  <c r="H162" i="17" l="1"/>
  <c r="I162" i="17" s="1"/>
  <c r="I178" i="17" s="1"/>
</calcChain>
</file>

<file path=xl/sharedStrings.xml><?xml version="1.0" encoding="utf-8"?>
<sst xmlns="http://schemas.openxmlformats.org/spreadsheetml/2006/main" count="357" uniqueCount="144">
  <si>
    <t>DY28</t>
  </si>
  <si>
    <t>DY29</t>
  </si>
  <si>
    <t>DY30</t>
  </si>
  <si>
    <t>DY31</t>
  </si>
  <si>
    <t>DY32</t>
  </si>
  <si>
    <t>Total</t>
  </si>
  <si>
    <t>Expenditures with SSO amendment</t>
  </si>
  <si>
    <t>DY27</t>
  </si>
  <si>
    <t>Net New SSO Expenditures</t>
  </si>
  <si>
    <t>Current Waiver SSO Expenditures</t>
  </si>
  <si>
    <t>Member Months</t>
  </si>
  <si>
    <t>PMPM</t>
  </si>
  <si>
    <t>Projections based on 7/1/2024 effective date</t>
  </si>
  <si>
    <t>Marketplace Subsidies</t>
  </si>
  <si>
    <t>Expenditures</t>
  </si>
  <si>
    <t>Hypothetical PMPM</t>
  </si>
  <si>
    <t>Current BN Workbook</t>
  </si>
  <si>
    <t>Updated Hypothetical PMPM individuals up to 500% FPL</t>
  </si>
  <si>
    <t>Total Member Months</t>
  </si>
  <si>
    <t>Total Expenditures</t>
  </si>
  <si>
    <t>SSO Integration Fund - Capped Hypothetical</t>
  </si>
  <si>
    <t>Trend</t>
  </si>
  <si>
    <t>Effective 1/1/2026</t>
  </si>
  <si>
    <t>hypothetical</t>
  </si>
  <si>
    <t>300% to 500% FPL</t>
  </si>
  <si>
    <t>Full Marketplace Subsidies Population with Waiver Amendment</t>
  </si>
  <si>
    <t>New Adult</t>
  </si>
  <si>
    <t xml:space="preserve"> 12-month Continuous Eligibility for Adults  - Hypothetical</t>
  </si>
  <si>
    <t>HRSN Infrastructure</t>
  </si>
  <si>
    <t>SUD</t>
  </si>
  <si>
    <t>SMI IMD Services</t>
  </si>
  <si>
    <t>FFCY</t>
  </si>
  <si>
    <t>CommonHealth</t>
  </si>
  <si>
    <t>TOTAL VARIANCE</t>
  </si>
  <si>
    <t>Total CNOM</t>
  </si>
  <si>
    <t>Total Available Savings MIN(A,B)</t>
  </si>
  <si>
    <t>(B) 15% of Medicaid Expenditures</t>
  </si>
  <si>
    <t>(A) Total Savings</t>
  </si>
  <si>
    <t>Carry forward savings (DY16 - DY 25)</t>
  </si>
  <si>
    <t>7th Extension BN room</t>
  </si>
  <si>
    <t>BN Room</t>
  </si>
  <si>
    <t>7th Extension BN Room</t>
  </si>
  <si>
    <t>LTSS CP Care Coordination</t>
  </si>
  <si>
    <t>SNCP</t>
  </si>
  <si>
    <t>Workforce Initiatives</t>
  </si>
  <si>
    <t>Hospital Quality and Equity Intitiative</t>
  </si>
  <si>
    <t>Flexible Services Cooking Supplies</t>
  </si>
  <si>
    <t>Flexible Services Transportation</t>
  </si>
  <si>
    <t>MSP Expansion</t>
  </si>
  <si>
    <t>Diversionary BH</t>
  </si>
  <si>
    <t>CSP</t>
  </si>
  <si>
    <t>Provisional Eligibility</t>
  </si>
  <si>
    <t>End of Month Coverage</t>
  </si>
  <si>
    <t>e-Family Assistance</t>
  </si>
  <si>
    <t>EAEDC</t>
  </si>
  <si>
    <t>e-HIV/FA</t>
  </si>
  <si>
    <t xml:space="preserve">With Waiver Only </t>
  </si>
  <si>
    <t>CE Homeless/1902 (r) 2 BCCDP</t>
  </si>
  <si>
    <t>CE Homeless/1902 (r) 2 Disabled</t>
  </si>
  <si>
    <t>CE Homeless/1902 (r) 2 Children</t>
  </si>
  <si>
    <t>CE Homeless/Base Disabled</t>
  </si>
  <si>
    <t>CE Homeless/Base Families</t>
  </si>
  <si>
    <t>CE Formerly Incarcerated/Base Disabled</t>
  </si>
  <si>
    <t>CE Formerly Incarcerated/Base Families</t>
  </si>
  <si>
    <t>Hypothetical Populations</t>
  </si>
  <si>
    <t>1902 (r) 2 BCCDP</t>
  </si>
  <si>
    <t>1902 (r) 2 Disabled</t>
  </si>
  <si>
    <t>1902 (r) 2 Children</t>
  </si>
  <si>
    <t>Base Disabled</t>
  </si>
  <si>
    <t xml:space="preserve">Base Families </t>
  </si>
  <si>
    <t>Base Populations</t>
  </si>
  <si>
    <t>With Waiver Expenditures</t>
  </si>
  <si>
    <t>Total Base Population Without Waiver Expenditures with DSH</t>
  </si>
  <si>
    <t>DSH Allotment</t>
  </si>
  <si>
    <t>Base Population 
Without Waiver Costs</t>
  </si>
  <si>
    <t>Base Population</t>
  </si>
  <si>
    <t>Without Waiver Total Expenditures</t>
  </si>
  <si>
    <t>Hypothetical Population</t>
  </si>
  <si>
    <t>President's Budget Trend</t>
  </si>
  <si>
    <t>Per Member Per Month Costs</t>
  </si>
  <si>
    <t>Projected</t>
  </si>
  <si>
    <t>DY 32</t>
  </si>
  <si>
    <t>DY 31</t>
  </si>
  <si>
    <t>DY 30</t>
  </si>
  <si>
    <t>DY 29</t>
  </si>
  <si>
    <t>DY 28</t>
  </si>
  <si>
    <t>DY 27</t>
  </si>
  <si>
    <t>7th Extension Total</t>
  </si>
  <si>
    <t>CY 2027</t>
  </si>
  <si>
    <t>CY 2026</t>
  </si>
  <si>
    <t>CY 2025</t>
  </si>
  <si>
    <t>CY 2024</t>
  </si>
  <si>
    <t>CY 2023</t>
  </si>
  <si>
    <t>Oct - Dec 2022</t>
  </si>
  <si>
    <t>One Care for CommonHealth Members</t>
  </si>
  <si>
    <t>Marketplace (Health Connector) Subsidies - Hypothetical</t>
  </si>
  <si>
    <t>One Care Eligibility for CommonHealth Members - Hypothetical</t>
  </si>
  <si>
    <t>Short-term Post-Hospitalization Housing (STPHH) - Hypothetical</t>
  </si>
  <si>
    <t>Base Families</t>
  </si>
  <si>
    <t>3 Months Retro Eliigibility</t>
  </si>
  <si>
    <t>1902(R)2, Children</t>
  </si>
  <si>
    <t>1902(R)2, Disabled</t>
  </si>
  <si>
    <t>1902(R)2, BCCTP</t>
  </si>
  <si>
    <t xml:space="preserve"> CommonHealth</t>
  </si>
  <si>
    <t>No Waiver</t>
  </si>
  <si>
    <t>e-HIV</t>
  </si>
  <si>
    <t>Member Months after offsets</t>
  </si>
  <si>
    <t>Expenditures after offsets</t>
  </si>
  <si>
    <t>CE No Waiver</t>
  </si>
  <si>
    <t>7/1/2025 effective date</t>
  </si>
  <si>
    <t>Total Cost</t>
  </si>
  <si>
    <t>Infrastructure Costs</t>
  </si>
  <si>
    <t>Data is preliminary and subject to change</t>
  </si>
  <si>
    <t>24 months Continuous Eligibility for Adult 65+ Experiencing Homelessness - Effective 7/1/24</t>
  </si>
  <si>
    <t>CE Homeless 65+/Base Families</t>
  </si>
  <si>
    <t>CE Homeless 65+/No Waiver</t>
  </si>
  <si>
    <t>CE Adults/Base Families</t>
  </si>
  <si>
    <t>CE Adults/ Base Disabled</t>
  </si>
  <si>
    <t>CE Adults/1902 (r) 2 Children</t>
  </si>
  <si>
    <t>CE Adults/1902 (r) 2 Disabled</t>
  </si>
  <si>
    <t>CE Adults/1902 (r) 2 BCCDP</t>
  </si>
  <si>
    <t>CE Adults/ e-HIV</t>
  </si>
  <si>
    <t>Pre-Release MassHealth Services to Individuals in  Certain Public Institutions</t>
  </si>
  <si>
    <t>Pre-Release Infrastructure</t>
  </si>
  <si>
    <t>New Services</t>
  </si>
  <si>
    <t>Existing Services</t>
  </si>
  <si>
    <t>Pre-release services PMPM*</t>
  </si>
  <si>
    <t>*DY30 PMPM was trended from the base year at 5%</t>
  </si>
  <si>
    <t xml:space="preserve">Pre-Release MassHealth Services to Individuals in  Certain Public Institutions - Hypothetical - </t>
  </si>
  <si>
    <t xml:space="preserve">This amendment has no impact on budget neutrality.  </t>
  </si>
  <si>
    <t>The STPHH expenditures will be reported under HRSN Services.  This amendment does not increase the hypothetical cap for HRSN services.</t>
  </si>
  <si>
    <t>HRSN Services</t>
  </si>
  <si>
    <t>Existing + New Services PMPM</t>
  </si>
  <si>
    <t>Beds utilized per day</t>
  </si>
  <si>
    <t>Total Bed Days</t>
  </si>
  <si>
    <t>Total Gross Cost</t>
  </si>
  <si>
    <t>Short-term Post-Hospitalization Housing (STPHH) for non-ACO Members- Hypothetical</t>
  </si>
  <si>
    <t>STPHH for non-ACO members</t>
  </si>
  <si>
    <t>Medicare Savings Program (MSP) Eligibility</t>
  </si>
  <si>
    <t>MSP Expansion  - Standard</t>
  </si>
  <si>
    <t>MSP Expansion  - CommonHealth</t>
  </si>
  <si>
    <t>Per diem rate</t>
  </si>
  <si>
    <t>HRSN - Temporary Housing Assistance for pregnant members and families and related services</t>
  </si>
  <si>
    <t>HRSN - Temporary Housing Assistance for pregnant members and families and related services - Hypothetical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</si>
</sst>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  <numFmt numFmtId="167" formatCode="_(&quot;$&quot;* #,##0.0000_);_(&quot;$&quot;* \(#,##0.0000\);_(&quot;$&quot;* &quot;-&quot;??_);_(@_)"/>
    <numFmt numFmtId="168" formatCode="0.0%"/>
    <numFmt numFmtId="169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/>
      <diagonal/>
    </border>
    <border>
      <left style="double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6">
    <xf numFmtId="0" fontId="0" fillId="0" borderId="0" xfId="0"/>
    <xf numFmtId="166" fontId="0" fillId="0" borderId="0" xfId="1" applyNumberFormat="1" applyFont="1" applyFill="1" applyBorder="1"/>
    <xf numFmtId="43" fontId="0" fillId="0" borderId="0" xfId="1" applyFont="1" applyFill="1" applyBorder="1"/>
    <xf numFmtId="0" fontId="7" fillId="0" borderId="0" xfId="8" applyFont="1"/>
    <xf numFmtId="0" fontId="6" fillId="0" borderId="0" xfId="8"/>
    <xf numFmtId="164" fontId="7" fillId="0" borderId="0" xfId="8" applyNumberFormat="1" applyFont="1"/>
    <xf numFmtId="164" fontId="7" fillId="0" borderId="0" xfId="9" applyNumberFormat="1" applyFont="1" applyFill="1"/>
    <xf numFmtId="44" fontId="7" fillId="0" borderId="0" xfId="8" applyNumberFormat="1" applyFont="1"/>
    <xf numFmtId="164" fontId="9" fillId="0" borderId="13" xfId="8" applyNumberFormat="1" applyFont="1" applyBorder="1"/>
    <xf numFmtId="164" fontId="7" fillId="0" borderId="1" xfId="8" applyNumberFormat="1" applyFont="1" applyBorder="1"/>
    <xf numFmtId="164" fontId="7" fillId="0" borderId="3" xfId="9" applyNumberFormat="1" applyFont="1" applyFill="1" applyBorder="1" applyAlignment="1">
      <alignment horizontal="right"/>
    </xf>
    <xf numFmtId="164" fontId="7" fillId="0" borderId="9" xfId="9" applyNumberFormat="1" applyFont="1" applyFill="1" applyBorder="1" applyAlignment="1">
      <alignment horizontal="center"/>
    </xf>
    <xf numFmtId="164" fontId="7" fillId="0" borderId="8" xfId="8" applyNumberFormat="1" applyFont="1" applyBorder="1"/>
    <xf numFmtId="164" fontId="7" fillId="0" borderId="7" xfId="9" applyNumberFormat="1" applyFont="1" applyFill="1" applyBorder="1" applyAlignment="1">
      <alignment horizontal="right"/>
    </xf>
    <xf numFmtId="164" fontId="7" fillId="0" borderId="7" xfId="9" applyNumberFormat="1" applyFont="1" applyFill="1" applyBorder="1" applyAlignment="1">
      <alignment horizontal="center"/>
    </xf>
    <xf numFmtId="164" fontId="7" fillId="0" borderId="8" xfId="9" applyNumberFormat="1" applyFont="1" applyFill="1" applyBorder="1"/>
    <xf numFmtId="164" fontId="7" fillId="0" borderId="0" xfId="9" applyNumberFormat="1" applyFont="1" applyFill="1" applyBorder="1" applyAlignment="1">
      <alignment horizontal="right"/>
    </xf>
    <xf numFmtId="164" fontId="7" fillId="0" borderId="6" xfId="8" applyNumberFormat="1" applyFont="1" applyBorder="1"/>
    <xf numFmtId="164" fontId="7" fillId="0" borderId="17" xfId="8" applyNumberFormat="1" applyFont="1" applyBorder="1"/>
    <xf numFmtId="164" fontId="7" fillId="0" borderId="18" xfId="8" applyNumberFormat="1" applyFont="1" applyBorder="1"/>
    <xf numFmtId="0" fontId="9" fillId="0" borderId="0" xfId="8" applyFont="1"/>
    <xf numFmtId="0" fontId="7" fillId="0" borderId="0" xfId="8" applyFont="1" applyAlignment="1">
      <alignment wrapText="1"/>
    </xf>
    <xf numFmtId="0" fontId="11" fillId="2" borderId="0" xfId="7" applyFont="1" applyAlignment="1">
      <alignment horizontal="center"/>
    </xf>
    <xf numFmtId="164" fontId="0" fillId="0" borderId="2" xfId="2" applyNumberFormat="1" applyFont="1" applyFill="1" applyBorder="1"/>
    <xf numFmtId="43" fontId="8" fillId="0" borderId="0" xfId="12" applyFont="1" applyFill="1"/>
    <xf numFmtId="0" fontId="8" fillId="0" borderId="0" xfId="8" applyFont="1" applyAlignment="1">
      <alignment wrapText="1"/>
    </xf>
    <xf numFmtId="0" fontId="14" fillId="0" borderId="0" xfId="8" applyFont="1"/>
    <xf numFmtId="0" fontId="8" fillId="0" borderId="0" xfId="8" applyFont="1"/>
    <xf numFmtId="0" fontId="15" fillId="0" borderId="0" xfId="8" applyFont="1"/>
    <xf numFmtId="165" fontId="8" fillId="0" borderId="0" xfId="12" applyNumberFormat="1" applyFont="1" applyFill="1"/>
    <xf numFmtId="168" fontId="8" fillId="0" borderId="0" xfId="11" applyNumberFormat="1" applyFont="1" applyFill="1"/>
    <xf numFmtId="165" fontId="8" fillId="0" borderId="0" xfId="8" applyNumberFormat="1" applyFont="1"/>
    <xf numFmtId="43" fontId="8" fillId="0" borderId="0" xfId="1" applyFont="1" applyFill="1"/>
    <xf numFmtId="44" fontId="8" fillId="0" borderId="0" xfId="9" applyFont="1" applyFill="1"/>
    <xf numFmtId="0" fontId="10" fillId="0" borderId="0" xfId="0" applyFont="1"/>
    <xf numFmtId="10" fontId="8" fillId="0" borderId="0" xfId="8" applyNumberFormat="1" applyFont="1"/>
    <xf numFmtId="44" fontId="8" fillId="0" borderId="0" xfId="2" applyFont="1" applyFill="1"/>
    <xf numFmtId="164" fontId="8" fillId="0" borderId="0" xfId="9" applyNumberFormat="1" applyFont="1" applyFill="1"/>
    <xf numFmtId="164" fontId="8" fillId="0" borderId="0" xfId="0" applyNumberFormat="1" applyFont="1"/>
    <xf numFmtId="0" fontId="14" fillId="0" borderId="0" xfId="8" applyFont="1" applyAlignment="1">
      <alignment wrapText="1"/>
    </xf>
    <xf numFmtId="164" fontId="14" fillId="0" borderId="0" xfId="9" applyNumberFormat="1" applyFont="1" applyFill="1"/>
    <xf numFmtId="164" fontId="14" fillId="0" borderId="0" xfId="0" applyNumberFormat="1" applyFont="1"/>
    <xf numFmtId="164" fontId="8" fillId="0" borderId="0" xfId="2" applyNumberFormat="1" applyFont="1" applyFill="1"/>
    <xf numFmtId="164" fontId="8" fillId="0" borderId="0" xfId="8" applyNumberFormat="1" applyFont="1"/>
    <xf numFmtId="164" fontId="14" fillId="0" borderId="0" xfId="8" applyNumberFormat="1" applyFont="1"/>
    <xf numFmtId="0" fontId="3" fillId="0" borderId="0" xfId="8" applyFont="1"/>
    <xf numFmtId="167" fontId="8" fillId="0" borderId="0" xfId="8" applyNumberFormat="1" applyFont="1"/>
    <xf numFmtId="165" fontId="10" fillId="0" borderId="8" xfId="10" applyNumberFormat="1" applyFont="1" applyBorder="1"/>
    <xf numFmtId="0" fontId="2" fillId="0" borderId="0" xfId="0" applyFont="1"/>
    <xf numFmtId="44" fontId="0" fillId="0" borderId="0" xfId="0" applyNumberFormat="1"/>
    <xf numFmtId="0" fontId="0" fillId="0" borderId="2" xfId="0" applyBorder="1"/>
    <xf numFmtId="44" fontId="0" fillId="0" borderId="2" xfId="2" applyFont="1" applyFill="1" applyBorder="1"/>
    <xf numFmtId="164" fontId="0" fillId="0" borderId="0" xfId="0" applyNumberFormat="1"/>
    <xf numFmtId="165" fontId="0" fillId="0" borderId="0" xfId="0" applyNumberFormat="1"/>
    <xf numFmtId="44" fontId="0" fillId="0" borderId="0" xfId="2" applyFont="1" applyFill="1"/>
    <xf numFmtId="169" fontId="0" fillId="0" borderId="0" xfId="0" applyNumberFormat="1"/>
    <xf numFmtId="0" fontId="0" fillId="0" borderId="2" xfId="0" applyBorder="1" applyAlignment="1">
      <alignment wrapText="1"/>
    </xf>
    <xf numFmtId="1" fontId="0" fillId="0" borderId="2" xfId="2" applyNumberFormat="1" applyFont="1" applyFill="1" applyBorder="1"/>
    <xf numFmtId="3" fontId="0" fillId="0" borderId="2" xfId="2" applyNumberFormat="1" applyFont="1" applyFill="1" applyBorder="1"/>
    <xf numFmtId="165" fontId="0" fillId="0" borderId="2" xfId="1" applyNumberFormat="1" applyFont="1" applyFill="1" applyBorder="1"/>
    <xf numFmtId="10" fontId="0" fillId="0" borderId="0" xfId="3" applyNumberFormat="1" applyFont="1" applyFill="1"/>
    <xf numFmtId="44" fontId="0" fillId="0" borderId="2" xfId="0" applyNumberFormat="1" applyBorder="1"/>
    <xf numFmtId="164" fontId="0" fillId="0" borderId="2" xfId="0" applyNumberFormat="1" applyBorder="1"/>
    <xf numFmtId="9" fontId="0" fillId="0" borderId="0" xfId="0" applyNumberFormat="1"/>
    <xf numFmtId="0" fontId="12" fillId="0" borderId="0" xfId="0" applyFont="1"/>
    <xf numFmtId="169" fontId="0" fillId="0" borderId="2" xfId="2" applyNumberFormat="1" applyFont="1" applyFill="1" applyBorder="1"/>
    <xf numFmtId="169" fontId="0" fillId="0" borderId="2" xfId="1" applyNumberFormat="1" applyFont="1" applyFill="1" applyBorder="1"/>
    <xf numFmtId="0" fontId="0" fillId="0" borderId="11" xfId="0" applyBorder="1"/>
    <xf numFmtId="164" fontId="0" fillId="0" borderId="0" xfId="2" applyNumberFormat="1" applyFont="1" applyFill="1" applyBorder="1"/>
    <xf numFmtId="0" fontId="2" fillId="0" borderId="11" xfId="0" applyFont="1" applyBorder="1"/>
    <xf numFmtId="165" fontId="2" fillId="0" borderId="0" xfId="0" applyNumberFormat="1" applyFont="1"/>
    <xf numFmtId="0" fontId="13" fillId="0" borderId="0" xfId="0" applyFont="1"/>
    <xf numFmtId="44" fontId="0" fillId="0" borderId="0" xfId="2" applyFont="1"/>
    <xf numFmtId="164" fontId="7" fillId="0" borderId="16" xfId="9" applyNumberFormat="1" applyFont="1" applyFill="1" applyBorder="1" applyAlignment="1">
      <alignment horizontal="right"/>
    </xf>
    <xf numFmtId="164" fontId="7" fillId="0" borderId="4" xfId="9" applyNumberFormat="1" applyFont="1" applyFill="1" applyBorder="1" applyAlignment="1">
      <alignment horizontal="right"/>
    </xf>
    <xf numFmtId="164" fontId="7" fillId="0" borderId="5" xfId="9" applyNumberFormat="1" applyFont="1" applyFill="1" applyBorder="1" applyAlignment="1">
      <alignment horizontal="right"/>
    </xf>
    <xf numFmtId="164" fontId="7" fillId="0" borderId="7" xfId="9" applyNumberFormat="1" applyFont="1" applyFill="1" applyBorder="1" applyAlignment="1">
      <alignment horizontal="right"/>
    </xf>
    <xf numFmtId="164" fontId="7" fillId="0" borderId="0" xfId="9" applyNumberFormat="1" applyFont="1" applyFill="1" applyBorder="1" applyAlignment="1">
      <alignment horizontal="right"/>
    </xf>
    <xf numFmtId="164" fontId="9" fillId="0" borderId="15" xfId="9" applyNumberFormat="1" applyFont="1" applyFill="1" applyBorder="1" applyAlignment="1">
      <alignment horizontal="right"/>
    </xf>
    <xf numFmtId="164" fontId="9" fillId="0" borderId="14" xfId="9" applyNumberFormat="1" applyFont="1" applyFill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3">
    <cellStyle name="Accent1" xfId="7" builtinId="29"/>
    <cellStyle name="Comma" xfId="1" builtinId="3"/>
    <cellStyle name="Comma 2" xfId="6" xr:uid="{6CC43E4B-A37C-4006-A1E1-CE777F50426B}"/>
    <cellStyle name="Comma 3" xfId="12" xr:uid="{D62AFCF9-6A49-418B-BADA-822B2C53DD4C}"/>
    <cellStyle name="Comma 8" xfId="10" xr:uid="{933E75D2-B05C-4A3B-8075-CF77E0ED7DAC}"/>
    <cellStyle name="Currency" xfId="2" builtinId="4"/>
    <cellStyle name="Currency 2" xfId="5" xr:uid="{B98B968C-CA72-4292-9AC0-0B30CAE56076}"/>
    <cellStyle name="Currency 3" xfId="9" xr:uid="{ACE462A0-5FB0-49CE-8945-7FD7D498EA38}"/>
    <cellStyle name="Normal" xfId="0" builtinId="0"/>
    <cellStyle name="Normal 2" xfId="4" xr:uid="{7CD84D55-A506-4E10-927E-F59C7EC6CC2F}"/>
    <cellStyle name="Normal 3" xfId="8" xr:uid="{C6B6DE6D-841C-435C-BA9D-06C82046B043}"/>
    <cellStyle name="Percent" xfId="3" builtinId="5"/>
    <cellStyle name="Percent 2" xfId="11" xr:uid="{EFB6A375-65E8-46F0-9D59-BBA87E606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PHXwpfs01\data1\FINANCE\ACCRUAL\2000DC\10_00dc\DCLa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loom/AppData/Local/Microsoft/Windows/INetCache/Content.Outlook/D78U56K1/MassHealth%20BN%20FY22%20Amendments%20SMI%20CSP%20MSP%2002-24-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Budget\14.%20FORECAST\Forecast\FY2020%20Q3\FY20%20LT%20Model%20v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Users\MSesay\AppData\Local\Microsoft\Windows\Temporary%20Internet%20Files\Content.Outlook\MEHUV5MT\MassHealth%20Enrollment%20Snapshot%20as%20of%20June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Mercer.com\us_data\JEUPLOADS\2014%20JE%20Uploads\01-January-2014\JE%20KW%20Medical%2001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****_x0000_ÿ"/>
      <sheetName val="Hospital "/>
      <sheetName val="Medical "/>
      <sheetName val="DCLag"/>
      <sheetName val="Control"/>
      <sheetName val="****"/>
      <sheetName val="Key"/>
      <sheetName val="2009 Oct Guidance SEC Format"/>
      <sheetName val="Q3 Forecast Scenarios Aud Com"/>
      <sheetName val="Schedule 1-E A"/>
      <sheetName val="Look_up"/>
      <sheetName val="&lt;Overview &amp; Legend&gt;"/>
    </sheetNames>
    <sheetDataSet>
      <sheetData sheetId="0" refreshError="1">
        <row r="5"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</row>
        <row r="6">
          <cell r="AC6" t="e">
            <v>#REF!</v>
          </cell>
          <cell r="AE6" t="e">
            <v>#REF!</v>
          </cell>
          <cell r="AG6" t="e">
            <v>#REF!</v>
          </cell>
          <cell r="AI6" t="e">
            <v>#REF!</v>
          </cell>
          <cell r="AK6" t="e">
            <v>#REF!</v>
          </cell>
          <cell r="AM6" t="e">
            <v>#REF!</v>
          </cell>
          <cell r="AO6" t="e">
            <v>#REF!</v>
          </cell>
        </row>
        <row r="10"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</row>
        <row r="15"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</row>
        <row r="20"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</row>
        <row r="25"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</row>
        <row r="30">
          <cell r="AC30" t="e">
            <v>#REF!</v>
          </cell>
          <cell r="AD30" t="e">
            <v>#REF!</v>
          </cell>
          <cell r="AE30" t="e">
            <v>#REF!</v>
          </cell>
          <cell r="AF30" t="e">
            <v>#REF!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  <cell r="AK30" t="e">
            <v>#REF!</v>
          </cell>
          <cell r="AL30" t="e">
            <v>#REF!</v>
          </cell>
          <cell r="AM30" t="e">
            <v>#REF!</v>
          </cell>
          <cell r="AN30" t="e">
            <v>#REF!</v>
          </cell>
          <cell r="AO30" t="e">
            <v>#REF!</v>
          </cell>
        </row>
        <row r="35">
          <cell r="AC35" t="e">
            <v>#REF!</v>
          </cell>
          <cell r="AD35" t="e">
            <v>#REF!</v>
          </cell>
          <cell r="AE35" t="e">
            <v>#REF!</v>
          </cell>
          <cell r="AF35" t="e">
            <v>#REF!</v>
          </cell>
          <cell r="AG35" t="e">
            <v>#REF!</v>
          </cell>
          <cell r="AH35" t="e">
            <v>#REF!</v>
          </cell>
          <cell r="AI35" t="e">
            <v>#REF!</v>
          </cell>
          <cell r="AJ35" t="e">
            <v>#REF!</v>
          </cell>
          <cell r="AK35" t="e">
            <v>#REF!</v>
          </cell>
          <cell r="AL35" t="e">
            <v>#REF!</v>
          </cell>
          <cell r="AM35" t="e">
            <v>#REF!</v>
          </cell>
          <cell r="AN35" t="e">
            <v>#REF!</v>
          </cell>
          <cell r="AO35" t="e">
            <v>#REF!</v>
          </cell>
        </row>
        <row r="40"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</row>
        <row r="45"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</row>
        <row r="49"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</row>
        <row r="51">
          <cell r="AF51">
            <v>226</v>
          </cell>
          <cell r="AG51">
            <v>208</v>
          </cell>
          <cell r="AH51">
            <v>206</v>
          </cell>
          <cell r="AI51">
            <v>236</v>
          </cell>
          <cell r="AJ51">
            <v>236</v>
          </cell>
          <cell r="AK51">
            <v>255</v>
          </cell>
          <cell r="AL51">
            <v>270</v>
          </cell>
          <cell r="AM51">
            <v>260</v>
          </cell>
          <cell r="AN51">
            <v>240</v>
          </cell>
          <cell r="AO51">
            <v>241</v>
          </cell>
        </row>
        <row r="57">
          <cell r="AA57" t="str">
            <v>JAN94</v>
          </cell>
          <cell r="AC57">
            <v>10241</v>
          </cell>
          <cell r="AE57">
            <v>2789</v>
          </cell>
          <cell r="AF57">
            <v>2731</v>
          </cell>
          <cell r="AG57">
            <v>1205</v>
          </cell>
          <cell r="AH57">
            <v>5982</v>
          </cell>
          <cell r="AI57">
            <v>10147</v>
          </cell>
        </row>
        <row r="58">
          <cell r="AA58" t="str">
            <v>FEB94</v>
          </cell>
          <cell r="AC58">
            <v>9328</v>
          </cell>
          <cell r="AE58">
            <v>1973</v>
          </cell>
          <cell r="AF58">
            <v>2040</v>
          </cell>
          <cell r="AG58">
            <v>880</v>
          </cell>
          <cell r="AH58">
            <v>3808</v>
          </cell>
          <cell r="AI58">
            <v>9716</v>
          </cell>
        </row>
        <row r="59">
          <cell r="AA59" t="str">
            <v>MAR94</v>
          </cell>
          <cell r="AC59">
            <v>9893</v>
          </cell>
          <cell r="AE59">
            <v>2368</v>
          </cell>
          <cell r="AF59">
            <v>2443</v>
          </cell>
          <cell r="AG59">
            <v>879</v>
          </cell>
          <cell r="AH59">
            <v>6234</v>
          </cell>
          <cell r="AI59">
            <v>10920</v>
          </cell>
        </row>
        <row r="60">
          <cell r="AA60" t="str">
            <v>APR94</v>
          </cell>
          <cell r="AC60">
            <v>8820</v>
          </cell>
          <cell r="AE60">
            <v>1666</v>
          </cell>
          <cell r="AF60">
            <v>2093</v>
          </cell>
          <cell r="AG60">
            <v>884</v>
          </cell>
          <cell r="AH60">
            <v>5321</v>
          </cell>
          <cell r="AI60">
            <v>9095</v>
          </cell>
        </row>
        <row r="61">
          <cell r="AA61" t="str">
            <v>MAY94</v>
          </cell>
          <cell r="AC61">
            <v>9511</v>
          </cell>
          <cell r="AE61">
            <v>2634</v>
          </cell>
          <cell r="AF61">
            <v>2544</v>
          </cell>
          <cell r="AG61">
            <v>1031</v>
          </cell>
          <cell r="AH61">
            <v>4468</v>
          </cell>
          <cell r="AI61">
            <v>9335</v>
          </cell>
        </row>
        <row r="62">
          <cell r="AA62" t="str">
            <v>JUN 94</v>
          </cell>
          <cell r="AC62">
            <v>7869</v>
          </cell>
          <cell r="AE62">
            <v>1816</v>
          </cell>
          <cell r="AF62">
            <v>1926</v>
          </cell>
          <cell r="AG62">
            <v>822</v>
          </cell>
          <cell r="AH62">
            <v>3867</v>
          </cell>
          <cell r="AI62">
            <v>6315</v>
          </cell>
        </row>
        <row r="63">
          <cell r="AA63" t="str">
            <v>JUL 94</v>
          </cell>
          <cell r="AC63">
            <v>7126</v>
          </cell>
          <cell r="AE63">
            <v>2482</v>
          </cell>
          <cell r="AF63">
            <v>1711</v>
          </cell>
          <cell r="AG63">
            <v>593</v>
          </cell>
          <cell r="AH63">
            <v>4096</v>
          </cell>
          <cell r="AI63">
            <v>9250</v>
          </cell>
        </row>
        <row r="64">
          <cell r="AA64" t="str">
            <v>AUG 94</v>
          </cell>
          <cell r="AC64">
            <v>10416</v>
          </cell>
          <cell r="AE64">
            <v>2093</v>
          </cell>
          <cell r="AF64">
            <v>1949</v>
          </cell>
          <cell r="AG64">
            <v>1068</v>
          </cell>
          <cell r="AH64">
            <v>3154</v>
          </cell>
          <cell r="AI64">
            <v>16101</v>
          </cell>
        </row>
        <row r="65">
          <cell r="AA65" t="str">
            <v>SEP94</v>
          </cell>
          <cell r="AC65">
            <v>4620</v>
          </cell>
          <cell r="AE65">
            <v>1280</v>
          </cell>
          <cell r="AF65">
            <v>1188</v>
          </cell>
          <cell r="AG65">
            <v>464</v>
          </cell>
          <cell r="AH65">
            <v>201</v>
          </cell>
          <cell r="AI65">
            <v>7083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Y Def"/>
      <sheetName val="MEG Def"/>
      <sheetName val="WOW PMPM &amp; Agg"/>
      <sheetName val="Program Spending Limits"/>
      <sheetName val="C Report"/>
      <sheetName val="C Report Grouper"/>
      <sheetName val="Total Adjustments"/>
      <sheetName val="WW Spending Actual"/>
      <sheetName val="WW Spending Projected"/>
      <sheetName val="WW Spending Total"/>
      <sheetName val="MemMon Actual"/>
      <sheetName val="MemMon Projected"/>
      <sheetName val="MemMon Total"/>
      <sheetName val="Summary TC"/>
      <sheetName val="Waiver Amendments"/>
      <sheetName val="IMD Overview1"/>
      <sheetName val="IMD Without Waiver1"/>
      <sheetName val="IMD With Waiver1"/>
      <sheetName val="IMD Summary1"/>
      <sheetName val="IMD Caseloads1"/>
      <sheetName val="Dropdowns"/>
      <sheetName val="SummaryTC_AP"/>
    </sheetNames>
    <sheetDataSet>
      <sheetData sheetId="0" refreshError="1"/>
      <sheetData sheetId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>
            <v>20</v>
          </cell>
          <cell r="V5">
            <v>21</v>
          </cell>
          <cell r="W5">
            <v>22</v>
          </cell>
          <cell r="X5">
            <v>23</v>
          </cell>
          <cell r="Y5">
            <v>24</v>
          </cell>
          <cell r="Z5">
            <v>25</v>
          </cell>
          <cell r="AA5">
            <v>26</v>
          </cell>
          <cell r="AB5">
            <v>27</v>
          </cell>
          <cell r="AC5">
            <v>28</v>
          </cell>
          <cell r="AD5">
            <v>29</v>
          </cell>
          <cell r="AE5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Yes</v>
          </cell>
          <cell r="C2" t="str">
            <v>MAP WAIVERS</v>
          </cell>
        </row>
        <row r="3">
          <cell r="A3" t="str">
            <v>No</v>
          </cell>
          <cell r="C3" t="str">
            <v>Not Applicable</v>
          </cell>
        </row>
        <row r="4">
          <cell r="C4" t="str">
            <v>\115-CMHLTH</v>
          </cell>
        </row>
        <row r="5">
          <cell r="C5" t="str">
            <v>111-MHSPY</v>
          </cell>
        </row>
        <row r="6">
          <cell r="A6" t="str">
            <v>Per Capita</v>
          </cell>
          <cell r="C6" t="str">
            <v>1115 BASIC</v>
          </cell>
        </row>
        <row r="7">
          <cell r="A7" t="str">
            <v>Aggregate</v>
          </cell>
          <cell r="C7" t="str">
            <v>1115 BPHC</v>
          </cell>
        </row>
        <row r="8">
          <cell r="C8" t="str">
            <v>1115 CMHLTH</v>
          </cell>
        </row>
        <row r="9">
          <cell r="C9" t="str">
            <v>1115 CPHC</v>
          </cell>
        </row>
        <row r="10">
          <cell r="A10" t="str">
            <v>No Phase-Down</v>
          </cell>
          <cell r="C10" t="str">
            <v>1115 LIMITD</v>
          </cell>
        </row>
        <row r="11">
          <cell r="A11" t="str">
            <v>Savings Phase-Down</v>
          </cell>
          <cell r="C11" t="str">
            <v>1115 STNDRT</v>
          </cell>
        </row>
        <row r="12">
          <cell r="C12" t="str">
            <v>1115-BASIC</v>
          </cell>
        </row>
        <row r="13">
          <cell r="C13" t="str">
            <v>1115-BPHC</v>
          </cell>
        </row>
        <row r="14">
          <cell r="A14" t="str">
            <v>Actuals Only</v>
          </cell>
          <cell r="C14" t="str">
            <v>1115-CMHLTH</v>
          </cell>
        </row>
        <row r="15">
          <cell r="A15" t="str">
            <v>Actuals + Projected</v>
          </cell>
          <cell r="C15" t="str">
            <v>1115-CPHC</v>
          </cell>
        </row>
        <row r="16">
          <cell r="C16" t="str">
            <v>1115-IRP</v>
          </cell>
        </row>
        <row r="17">
          <cell r="C17" t="str">
            <v>1115-LIMITD</v>
          </cell>
        </row>
        <row r="18">
          <cell r="A18" t="str">
            <v>MAP+ADM Waivers</v>
          </cell>
          <cell r="C18" t="str">
            <v>1115-MHSPY</v>
          </cell>
        </row>
        <row r="19">
          <cell r="A19" t="str">
            <v>MAP Waivers Only</v>
          </cell>
          <cell r="C19" t="str">
            <v>1115-MSP</v>
          </cell>
        </row>
        <row r="20">
          <cell r="C20" t="str">
            <v>1115-STNDRD</v>
          </cell>
        </row>
        <row r="21">
          <cell r="C21" t="str">
            <v>115-STNDRD</v>
          </cell>
        </row>
        <row r="22">
          <cell r="C22" t="str">
            <v>1902(r)(2) Children</v>
          </cell>
        </row>
        <row r="23">
          <cell r="C23" t="str">
            <v>1902(r)(2) Disabled</v>
          </cell>
        </row>
        <row r="24">
          <cell r="C24" t="str">
            <v>Base Childless Adults (19-20)</v>
          </cell>
        </row>
        <row r="25">
          <cell r="C25" t="str">
            <v>Base Childless Adults (Care Plus)</v>
          </cell>
        </row>
        <row r="26">
          <cell r="C26" t="str">
            <v>Base Childless Adults (Standard ABP)</v>
          </cell>
        </row>
        <row r="27">
          <cell r="C27" t="str">
            <v>Base Disabled</v>
          </cell>
        </row>
        <row r="28">
          <cell r="C28" t="str">
            <v>Base Families</v>
          </cell>
        </row>
        <row r="29">
          <cell r="C29" t="str">
            <v>Base MCB</v>
          </cell>
        </row>
        <row r="30">
          <cell r="C30" t="str">
            <v>BASIC</v>
          </cell>
        </row>
        <row r="31">
          <cell r="C31" t="str">
            <v>BPHC</v>
          </cell>
        </row>
        <row r="32">
          <cell r="C32" t="str">
            <v>CommCare-133</v>
          </cell>
        </row>
        <row r="33">
          <cell r="C33" t="str">
            <v>CommCare-19-20</v>
          </cell>
        </row>
        <row r="34">
          <cell r="C34" t="str">
            <v>COMMONHEALTH</v>
          </cell>
        </row>
        <row r="35">
          <cell r="C35" t="str">
            <v>CPHC</v>
          </cell>
        </row>
        <row r="36">
          <cell r="C36" t="str">
            <v>DSH</v>
          </cell>
        </row>
        <row r="37">
          <cell r="C37" t="str">
            <v>DSHP-CommCare Transition</v>
          </cell>
        </row>
        <row r="38">
          <cell r="C38" t="str">
            <v>DSHP-CSR</v>
          </cell>
        </row>
        <row r="39">
          <cell r="C39" t="str">
            <v>DSHP-Health Connector subsidies</v>
          </cell>
        </row>
        <row r="40">
          <cell r="C40" t="str">
            <v>DSHP-Temporary Coverage</v>
          </cell>
        </row>
        <row r="41">
          <cell r="C41" t="str">
            <v>e-Family Assistance</v>
          </cell>
        </row>
        <row r="42">
          <cell r="C42" t="str">
            <v>e-HIV/FA</v>
          </cell>
        </row>
        <row r="43">
          <cell r="C43" t="str">
            <v>IRP</v>
          </cell>
        </row>
        <row r="44">
          <cell r="C44" t="str">
            <v>LIMITED</v>
          </cell>
        </row>
        <row r="45">
          <cell r="C45" t="str">
            <v>Mass Health Basic</v>
          </cell>
        </row>
        <row r="46">
          <cell r="C46" t="str">
            <v>Mass Health BPHC</v>
          </cell>
        </row>
        <row r="47">
          <cell r="C47" t="str">
            <v>Mass Health Commonhealth</v>
          </cell>
        </row>
        <row r="48">
          <cell r="C48" t="str">
            <v>Mass Health CPHC</v>
          </cell>
        </row>
        <row r="49">
          <cell r="C49" t="str">
            <v>Mass Health DSH</v>
          </cell>
        </row>
        <row r="50">
          <cell r="C50" t="str">
            <v>Mass Health IRP</v>
          </cell>
        </row>
        <row r="51">
          <cell r="C51" t="str">
            <v>Mass Health Limited</v>
          </cell>
        </row>
        <row r="52">
          <cell r="C52" t="str">
            <v>Mass Health MHSPY</v>
          </cell>
        </row>
        <row r="53">
          <cell r="C53" t="str">
            <v>Mass Health MSP</v>
          </cell>
        </row>
        <row r="54">
          <cell r="C54" t="str">
            <v>Mass Health Standard</v>
          </cell>
        </row>
        <row r="55">
          <cell r="C55" t="str">
            <v>MassHealth - Basic</v>
          </cell>
        </row>
        <row r="56">
          <cell r="C56" t="str">
            <v>MassHealth - BPHC</v>
          </cell>
        </row>
        <row r="57">
          <cell r="C57" t="str">
            <v>MassHealth - CommonHealth</v>
          </cell>
        </row>
        <row r="58">
          <cell r="C58" t="str">
            <v>MassHealth - CPHC</v>
          </cell>
        </row>
        <row r="59">
          <cell r="C59" t="str">
            <v>MassHealth - DSH</v>
          </cell>
        </row>
        <row r="60">
          <cell r="C60" t="str">
            <v>MassHealth - IRP</v>
          </cell>
        </row>
        <row r="61">
          <cell r="C61" t="str">
            <v>MassHealth - Limited</v>
          </cell>
        </row>
        <row r="62">
          <cell r="C62" t="str">
            <v>MassHealth - MHSPY</v>
          </cell>
        </row>
        <row r="63">
          <cell r="C63" t="str">
            <v>MassHealth - MSP</v>
          </cell>
        </row>
        <row r="64">
          <cell r="C64" t="str">
            <v>MassHealth - Standard</v>
          </cell>
        </row>
        <row r="65">
          <cell r="C65" t="str">
            <v>MassHealth Basic</v>
          </cell>
        </row>
        <row r="66">
          <cell r="C66" t="str">
            <v>MassHealth BPHC</v>
          </cell>
        </row>
        <row r="67">
          <cell r="C67" t="str">
            <v>MassHealth Commonhealth</v>
          </cell>
        </row>
        <row r="68">
          <cell r="C68" t="str">
            <v>MassHealth CPHC</v>
          </cell>
        </row>
        <row r="69">
          <cell r="C69" t="str">
            <v>MassHealth DSH</v>
          </cell>
        </row>
        <row r="70">
          <cell r="C70" t="str">
            <v>MassHealth IRP</v>
          </cell>
        </row>
        <row r="71">
          <cell r="C71" t="str">
            <v>MassHealth Limited</v>
          </cell>
        </row>
        <row r="72">
          <cell r="C72" t="str">
            <v>MassHealth MHSPY</v>
          </cell>
        </row>
        <row r="73">
          <cell r="C73" t="str">
            <v>MassHealth MSP</v>
          </cell>
        </row>
        <row r="74">
          <cell r="C74" t="str">
            <v>MassHealth Standard</v>
          </cell>
        </row>
        <row r="75">
          <cell r="C75" t="str">
            <v>MassHealth-Basic</v>
          </cell>
        </row>
        <row r="76">
          <cell r="C76" t="str">
            <v>MassHealth-BCCTP</v>
          </cell>
        </row>
        <row r="77">
          <cell r="C77" t="str">
            <v>MassHealth-BPHC</v>
          </cell>
        </row>
        <row r="78">
          <cell r="C78" t="str">
            <v>MassHealth-CommonHealth</v>
          </cell>
        </row>
        <row r="79">
          <cell r="C79" t="str">
            <v>MassHealth-CPHC</v>
          </cell>
        </row>
        <row r="80">
          <cell r="C80" t="str">
            <v>MassHealth-DSH</v>
          </cell>
        </row>
        <row r="81">
          <cell r="C81" t="str">
            <v>MassHealth-Essential</v>
          </cell>
        </row>
        <row r="82">
          <cell r="C82" t="str">
            <v>MassHealth-IRP</v>
          </cell>
        </row>
        <row r="83">
          <cell r="C83" t="str">
            <v>MassHealth-Limited</v>
          </cell>
        </row>
        <row r="84">
          <cell r="C84" t="str">
            <v>MassHealth-MHSPY</v>
          </cell>
        </row>
        <row r="85">
          <cell r="C85" t="str">
            <v>MassHealth-MSP</v>
          </cell>
        </row>
        <row r="86">
          <cell r="C86" t="str">
            <v>MassHealth-Standard</v>
          </cell>
        </row>
        <row r="87">
          <cell r="C87" t="str">
            <v>MassHeath-MSP</v>
          </cell>
        </row>
        <row r="88">
          <cell r="C88" t="str">
            <v>MHSPY</v>
          </cell>
        </row>
        <row r="89">
          <cell r="C89" t="str">
            <v>MSP</v>
          </cell>
        </row>
        <row r="90">
          <cell r="C90" t="str">
            <v>Safety Net Provider Payments</v>
          </cell>
        </row>
        <row r="91">
          <cell r="C91" t="str">
            <v>SBE-PA</v>
          </cell>
        </row>
        <row r="92">
          <cell r="C92" t="str">
            <v>SNCP</v>
          </cell>
        </row>
        <row r="93">
          <cell r="C93" t="str">
            <v>SNCP DSTI</v>
          </cell>
        </row>
        <row r="94">
          <cell r="C94" t="str">
            <v>SNCP-CommCare</v>
          </cell>
        </row>
        <row r="95">
          <cell r="C95" t="str">
            <v>SNCP-CPE</v>
          </cell>
        </row>
        <row r="96">
          <cell r="C96" t="str">
            <v>SNCP-DSHP</v>
          </cell>
        </row>
        <row r="97">
          <cell r="C97" t="str">
            <v>SNCP-DSRIP</v>
          </cell>
        </row>
        <row r="98">
          <cell r="C98" t="str">
            <v>SNCP-HSNTF</v>
          </cell>
        </row>
        <row r="99">
          <cell r="C99" t="str">
            <v>SNCP-IMD</v>
          </cell>
        </row>
        <row r="100">
          <cell r="C100" t="str">
            <v>SNCP-Other</v>
          </cell>
        </row>
        <row r="101">
          <cell r="C101" t="str">
            <v>SNCP-PHTII</v>
          </cell>
        </row>
        <row r="102">
          <cell r="C102" t="str">
            <v>FFCY</v>
          </cell>
        </row>
        <row r="103">
          <cell r="C103" t="str">
            <v>Provisional Eligibility</v>
          </cell>
        </row>
        <row r="104">
          <cell r="C104" t="str">
            <v>SNCP-UCC</v>
          </cell>
        </row>
        <row r="105">
          <cell r="C105" t="str">
            <v>SNCP-DSRIP-ACO</v>
          </cell>
        </row>
        <row r="106">
          <cell r="C106" t="str">
            <v>SNCP-DSRIP-CP</v>
          </cell>
        </row>
        <row r="107">
          <cell r="C107" t="str">
            <v>SNCP-DSRIP-SWI</v>
          </cell>
        </row>
        <row r="108">
          <cell r="C108" t="str">
            <v>SNCP-DSRIP-Operations</v>
          </cell>
        </row>
        <row r="109">
          <cell r="C109" t="str">
            <v>Continuous Eligibility</v>
          </cell>
        </row>
        <row r="110">
          <cell r="C110" t="str">
            <v>SUD</v>
          </cell>
        </row>
        <row r="111">
          <cell r="C111" t="str">
            <v>Base Fam XXI RO</v>
          </cell>
        </row>
        <row r="112">
          <cell r="C112" t="str">
            <v>1902 (r)(2) XXI RO</v>
          </cell>
        </row>
        <row r="113">
          <cell r="C113" t="str">
            <v>MSP Expansion</v>
          </cell>
        </row>
        <row r="114">
          <cell r="C114" t="str">
            <v>CSP Expansion</v>
          </cell>
        </row>
        <row r="115">
          <cell r="C115" t="str">
            <v>SMI IMD Services</v>
          </cell>
        </row>
        <row r="116">
          <cell r="C116" t="str">
            <v>CommonHealth XXI</v>
          </cell>
        </row>
        <row r="117">
          <cell r="C117" t="str">
            <v>STANDARD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orecast"/>
      <sheetName val="Line Items"/>
      <sheetName val="FY21 Solves"/>
      <sheetName val="Summary"/>
      <sheetName val="Rates"/>
      <sheetName val="Spending Adjustments"/>
      <sheetName val="Caseload"/>
      <sheetName val="growth rate for Dan"/>
      <sheetName val="OBH tracking"/>
      <sheetName val="Medical tracking"/>
      <sheetName val="LTSS tracking"/>
      <sheetName val="ACK"/>
      <sheetName val="Rate Summary"/>
      <sheetName val="Cap details"/>
    </sheetNames>
    <sheetDataSet>
      <sheetData sheetId="0">
        <row r="127">
          <cell r="A127">
            <v>1</v>
          </cell>
          <cell r="B127" t="str">
            <v>Demographic Growh</v>
          </cell>
          <cell r="C127">
            <v>0</v>
          </cell>
          <cell r="F127">
            <v>-112.96352998121</v>
          </cell>
          <cell r="G127">
            <v>-83.797949286548203</v>
          </cell>
          <cell r="H127">
            <v>-29.165580694661799</v>
          </cell>
          <cell r="I127">
            <v>81</v>
          </cell>
          <cell r="J127">
            <v>46</v>
          </cell>
          <cell r="K127">
            <v>35</v>
          </cell>
          <cell r="L127">
            <v>83</v>
          </cell>
          <cell r="M127">
            <v>47</v>
          </cell>
          <cell r="N127">
            <v>36</v>
          </cell>
        </row>
        <row r="128">
          <cell r="A128">
            <v>2</v>
          </cell>
          <cell r="B128" t="str">
            <v>Modest Growth NDA</v>
          </cell>
          <cell r="C128">
            <v>0</v>
          </cell>
          <cell r="F128">
            <v>-128.07034844191</v>
          </cell>
          <cell r="G128">
            <v>-94.220573866606102</v>
          </cell>
          <cell r="H128">
            <v>-33.849774575303897</v>
          </cell>
          <cell r="I128">
            <v>66</v>
          </cell>
          <cell r="J128">
            <v>36</v>
          </cell>
          <cell r="K128">
            <v>30</v>
          </cell>
          <cell r="L128">
            <v>68</v>
          </cell>
          <cell r="M128">
            <v>37</v>
          </cell>
          <cell r="N128">
            <v>31</v>
          </cell>
        </row>
        <row r="129">
          <cell r="A129">
            <v>3</v>
          </cell>
          <cell r="B129" t="str">
            <v>No Growth NDA</v>
          </cell>
          <cell r="C129">
            <v>0</v>
          </cell>
          <cell r="F129">
            <v>-135.62375767225998</v>
          </cell>
          <cell r="G129">
            <v>-99.431886156635088</v>
          </cell>
          <cell r="H129">
            <v>-36.191871515624896</v>
          </cell>
          <cell r="I129">
            <v>58</v>
          </cell>
          <cell r="J129">
            <v>30</v>
          </cell>
          <cell r="K129">
            <v>28</v>
          </cell>
          <cell r="L129">
            <v>60</v>
          </cell>
          <cell r="M129">
            <v>32</v>
          </cell>
          <cell r="N129">
            <v>28</v>
          </cell>
        </row>
        <row r="130">
          <cell r="A130">
            <v>4</v>
          </cell>
          <cell r="B130" t="str">
            <v>Decline in NDA</v>
          </cell>
          <cell r="C130">
            <v>0</v>
          </cell>
          <cell r="F130">
            <v>-162.94614942374599</v>
          </cell>
          <cell r="G130">
            <v>-120.26612040664779</v>
          </cell>
          <cell r="H130">
            <v>-42.680029017098207</v>
          </cell>
          <cell r="I130">
            <v>31</v>
          </cell>
          <cell r="J130">
            <v>10</v>
          </cell>
          <cell r="K130">
            <v>21</v>
          </cell>
          <cell r="L130">
            <v>33</v>
          </cell>
          <cell r="M130">
            <v>11</v>
          </cell>
          <cell r="N130">
            <v>22</v>
          </cell>
        </row>
        <row r="131">
          <cell r="A131">
            <v>5</v>
          </cell>
          <cell r="B131" t="str">
            <v>Maintain FY19 NDA trajectory</v>
          </cell>
          <cell r="C131">
            <v>0</v>
          </cell>
          <cell r="F131">
            <v>-230.041373051633</v>
          </cell>
          <cell r="G131">
            <v>-164.57328978199598</v>
          </cell>
          <cell r="H131">
            <v>-65.468083269637006</v>
          </cell>
          <cell r="I131">
            <v>-32</v>
          </cell>
          <cell r="J131">
            <v>-30</v>
          </cell>
          <cell r="K131">
            <v>-2</v>
          </cell>
          <cell r="L131">
            <v>-26</v>
          </cell>
          <cell r="M131">
            <v>-27</v>
          </cell>
          <cell r="N13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Caseload by group"/>
      <sheetName val="Snapshot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KW300-LAE ADJ"/>
      <sheetName val="KW400-Northstar Med"/>
      <sheetName val="KW400A-Northstar IBNR"/>
      <sheetName val="KW400B-Northstar Subcap"/>
      <sheetName val="KW400C-Northstar Incentives"/>
      <sheetName val="KW400D-Northstar Misc"/>
      <sheetName val="KW413-KS Adj"/>
      <sheetName val="KW416-Medstar Med"/>
      <sheetName val="KW416A-Medstar IBNR"/>
      <sheetName val="KW600-CA Med"/>
      <sheetName val="KW600B-CA IBNR"/>
      <sheetName val="KW801-MVP Med"/>
      <sheetName val="KW801A-MVP IBNR"/>
      <sheetName val="KW803A-Reinsurance"/>
      <sheetName val="KW804-APG Recoup"/>
      <sheetName val="KW806-Emblem Med"/>
      <sheetName val="KW806A-Emblem IBNR"/>
      <sheetName val="KW806B-Emblem Realign"/>
      <sheetName val="KW807-FL IBNR"/>
      <sheetName val="KW810-Total Med"/>
      <sheetName val="KW810B-Total IBNR"/>
      <sheetName val="KW811-Greene Reinv"/>
      <sheetName val="KH811A - Greene Reinv"/>
      <sheetName val="BneLog"/>
      <sheetName val="KW814A-LA IBNR"/>
      <sheetName val="KW814B-LA"/>
      <sheetName val="KW816-FCA Med"/>
      <sheetName val="KW816A-FCA PDR"/>
      <sheetName val="KW816B-FCA IBNR"/>
      <sheetName val="KW901-MBHP Med"/>
      <sheetName val="KW901A-MBHP Med"/>
      <sheetName val="KW901B-MBHP IBNR"/>
      <sheetName val="KW901D-MBHP Med"/>
      <sheetName val="KW301-AZ Malpractice"/>
      <sheetName val="KW302-Erie"/>
      <sheetName val="KW303-SW6 Incentive"/>
      <sheetName val="KW304-PA Misc"/>
      <sheetName val="KW305-PA Misc"/>
      <sheetName val="KW306-PA reclass"/>
      <sheetName val="Copy this (11)"/>
      <sheetName val="KW801B-MVP Med"/>
      <sheetName val="KW810A-Total Med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6625-980C-4BD9-B4ED-F41D0707561F}">
  <sheetPr>
    <tabColor rgb="FF00B0F0"/>
    <pageSetUpPr fitToPage="1"/>
  </sheetPr>
  <dimension ref="A3:Q21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10.26953125" defaultRowHeight="13" x14ac:dyDescent="0.3"/>
  <cols>
    <col min="1" max="1" width="44.453125" style="3" bestFit="1" customWidth="1"/>
    <col min="2" max="2" width="20.81640625" style="3" customWidth="1"/>
    <col min="3" max="3" width="18.81640625" style="3" bestFit="1" customWidth="1"/>
    <col min="4" max="4" width="16.7265625" style="3" bestFit="1" customWidth="1"/>
    <col min="5" max="8" width="16.54296875" style="3" bestFit="1" customWidth="1"/>
    <col min="9" max="9" width="19.1796875" style="3" bestFit="1" customWidth="1"/>
    <col min="10" max="10" width="15.1796875" style="3" bestFit="1" customWidth="1"/>
    <col min="11" max="15" width="15.81640625" style="3" bestFit="1" customWidth="1"/>
    <col min="16" max="16" width="16.81640625" style="3" bestFit="1" customWidth="1"/>
    <col min="17" max="17" width="15.54296875" style="3" bestFit="1" customWidth="1"/>
    <col min="18" max="16384" width="10.26953125" style="3"/>
  </cols>
  <sheetData>
    <row r="3" spans="1:15" x14ac:dyDescent="0.3">
      <c r="C3" s="22" t="s">
        <v>93</v>
      </c>
      <c r="D3" s="22" t="s">
        <v>92</v>
      </c>
      <c r="E3" s="22" t="s">
        <v>91</v>
      </c>
      <c r="F3" s="22" t="s">
        <v>90</v>
      </c>
      <c r="G3" s="22" t="s">
        <v>89</v>
      </c>
      <c r="H3" s="22" t="s">
        <v>88</v>
      </c>
      <c r="I3" s="22" t="s">
        <v>87</v>
      </c>
    </row>
    <row r="4" spans="1:15" x14ac:dyDescent="0.3">
      <c r="C4" s="22" t="s">
        <v>86</v>
      </c>
      <c r="D4" s="22" t="s">
        <v>85</v>
      </c>
      <c r="E4" s="22" t="s">
        <v>84</v>
      </c>
      <c r="F4" s="22" t="s">
        <v>83</v>
      </c>
      <c r="G4" s="22" t="s">
        <v>82</v>
      </c>
      <c r="H4" s="22" t="s">
        <v>81</v>
      </c>
      <c r="I4" s="22"/>
    </row>
    <row r="5" spans="1:15" x14ac:dyDescent="0.3">
      <c r="D5" s="3" t="s">
        <v>80</v>
      </c>
      <c r="E5" s="3" t="s">
        <v>80</v>
      </c>
      <c r="F5" s="3" t="s">
        <v>80</v>
      </c>
      <c r="G5" s="3" t="s">
        <v>80</v>
      </c>
      <c r="H5" s="3" t="s">
        <v>80</v>
      </c>
    </row>
    <row r="6" spans="1:15" s="27" customFormat="1" x14ac:dyDescent="0.3">
      <c r="A6" s="26" t="s">
        <v>10</v>
      </c>
    </row>
    <row r="7" spans="1:15" s="27" customFormat="1" x14ac:dyDescent="0.3">
      <c r="A7" s="28" t="s">
        <v>75</v>
      </c>
    </row>
    <row r="8" spans="1:15" s="27" customFormat="1" x14ac:dyDescent="0.3">
      <c r="A8" s="27" t="s">
        <v>69</v>
      </c>
      <c r="C8" s="29">
        <v>2851261.2171915108</v>
      </c>
      <c r="D8" s="29">
        <v>9841671.3609096631</v>
      </c>
      <c r="E8" s="29">
        <v>9878825.7428962961</v>
      </c>
      <c r="F8" s="29">
        <f>9885901.40452472+Amendments!F111</f>
        <v>9986190.3954127114</v>
      </c>
      <c r="G8" s="29">
        <f>9893175.1895563++Amendments!G111</f>
        <v>9993464.1804442927</v>
      </c>
      <c r="H8" s="29">
        <f>9900652.64574501+Amendments!H111</f>
        <v>10000941.636633001</v>
      </c>
      <c r="J8" s="30"/>
      <c r="K8" s="30"/>
      <c r="L8" s="30"/>
      <c r="M8" s="30"/>
    </row>
    <row r="9" spans="1:15" s="27" customFormat="1" x14ac:dyDescent="0.3">
      <c r="A9" s="27" t="s">
        <v>68</v>
      </c>
      <c r="C9" s="29">
        <v>684896.13240840868</v>
      </c>
      <c r="D9" s="29">
        <v>2705617.5451802551</v>
      </c>
      <c r="E9" s="29">
        <v>2703772.1601701691</v>
      </c>
      <c r="F9" s="29">
        <f>2703776.43811432+Amendments!F112</f>
        <v>2748374.392715924</v>
      </c>
      <c r="G9" s="29">
        <f>2703780.83081405++Amendments!G112</f>
        <v>2748378.7854156541</v>
      </c>
      <c r="H9" s="29">
        <f>2703785.34121471+Amendments!H112</f>
        <v>2748383.2958163139</v>
      </c>
      <c r="J9" s="30"/>
      <c r="K9" s="30"/>
      <c r="L9" s="30"/>
      <c r="M9" s="30"/>
    </row>
    <row r="10" spans="1:15" s="27" customFormat="1" x14ac:dyDescent="0.3">
      <c r="A10" s="27" t="s">
        <v>67</v>
      </c>
      <c r="C10" s="29">
        <v>81206.348089684121</v>
      </c>
      <c r="D10" s="29">
        <v>269658.18569121999</v>
      </c>
      <c r="E10" s="29">
        <v>285623.95585058344</v>
      </c>
      <c r="F10" s="29">
        <f>288223.896862244++Amendments!F113</f>
        <v>290256.82110407704</v>
      </c>
      <c r="G10" s="29">
        <f>290896.644247545+Amendments!G113</f>
        <v>292929.56848937803</v>
      </c>
      <c r="H10" s="29">
        <f>293644.237026832+Amendments!H113</f>
        <v>295677.16126866505</v>
      </c>
      <c r="J10" s="30"/>
      <c r="K10" s="29"/>
      <c r="L10" s="29"/>
      <c r="M10" s="29"/>
      <c r="N10" s="29"/>
      <c r="O10" s="29"/>
    </row>
    <row r="11" spans="1:15" s="27" customFormat="1" x14ac:dyDescent="0.3">
      <c r="A11" s="27" t="s">
        <v>66</v>
      </c>
      <c r="C11" s="29">
        <v>54108.414400359194</v>
      </c>
      <c r="D11" s="29">
        <v>214292.59705606257</v>
      </c>
      <c r="E11" s="29">
        <v>214146.70349261671</v>
      </c>
      <c r="F11" s="29">
        <f>214147.04207607+Amendments!F114</f>
        <v>218275.53806544197</v>
      </c>
      <c r="G11" s="29">
        <f>214147.389742003+Amendments!G114</f>
        <v>218275.88573137496</v>
      </c>
      <c r="H11" s="29">
        <f>214147.746723529+Amendments!H114</f>
        <v>218276.24271290097</v>
      </c>
      <c r="J11" s="30"/>
      <c r="K11" s="29"/>
      <c r="L11" s="29"/>
      <c r="M11" s="29"/>
      <c r="N11" s="29"/>
      <c r="O11" s="29"/>
    </row>
    <row r="12" spans="1:15" s="27" customFormat="1" x14ac:dyDescent="0.3">
      <c r="A12" s="27" t="s">
        <v>65</v>
      </c>
      <c r="C12" s="29">
        <v>3809.9923066678693</v>
      </c>
      <c r="D12" s="29">
        <v>13529.348643043184</v>
      </c>
      <c r="E12" s="29">
        <v>13520.094079143711</v>
      </c>
      <c r="F12" s="29">
        <f>13520.1154933076+Amendments!F115</f>
        <v>13786.89656453209</v>
      </c>
      <c r="G12" s="29">
        <f>13520.137481905+Amendments!G115</f>
        <v>13786.91855312949</v>
      </c>
      <c r="H12" s="29">
        <f>13520.1600596797+Amendments!H115</f>
        <v>13786.94113090419</v>
      </c>
      <c r="J12" s="30"/>
      <c r="K12" s="30"/>
      <c r="L12" s="30"/>
      <c r="M12" s="30"/>
    </row>
    <row r="13" spans="1:15" s="27" customFormat="1" x14ac:dyDescent="0.3">
      <c r="C13" s="29"/>
      <c r="D13" s="29"/>
      <c r="E13" s="29"/>
      <c r="F13" s="29"/>
      <c r="G13" s="29"/>
      <c r="H13" s="29"/>
      <c r="K13" s="31"/>
      <c r="L13" s="31"/>
      <c r="M13" s="31"/>
      <c r="N13" s="31"/>
      <c r="O13" s="31"/>
    </row>
    <row r="14" spans="1:15" s="27" customFormat="1" x14ac:dyDescent="0.3">
      <c r="A14" s="28" t="s">
        <v>77</v>
      </c>
    </row>
    <row r="15" spans="1:15" s="27" customFormat="1" x14ac:dyDescent="0.3">
      <c r="A15" s="27" t="s">
        <v>32</v>
      </c>
      <c r="C15" s="29">
        <v>95359.267341707367</v>
      </c>
      <c r="D15" s="29">
        <v>387241.23713424837</v>
      </c>
      <c r="E15" s="29">
        <f>387020.633360404+Amendments!N97</f>
        <v>387173.41950944712</v>
      </c>
      <c r="F15" s="29">
        <f>387033.210595366+Amendments!F117+Amendments!O77++Amendments!O97</f>
        <v>394634.4330009133</v>
      </c>
      <c r="G15" s="29">
        <f>387045.804279899+Amendments!G117+Amendments!P77+Amendments!P97</f>
        <v>394889.51042628824</v>
      </c>
      <c r="H15" s="29">
        <f>387058.414836762+Amendments!H117+Amendments!Q77++Amendments!Q97</f>
        <v>394946.19102380803</v>
      </c>
      <c r="J15" s="30"/>
      <c r="K15" s="30"/>
      <c r="L15" s="30"/>
      <c r="M15" s="30"/>
    </row>
    <row r="16" spans="1:15" s="27" customFormat="1" x14ac:dyDescent="0.3">
      <c r="A16" s="27" t="s">
        <v>31</v>
      </c>
      <c r="C16" s="29">
        <v>348.5</v>
      </c>
      <c r="D16" s="29">
        <v>1250.6544802491201</v>
      </c>
      <c r="E16" s="29">
        <v>1249.803531668673</v>
      </c>
      <c r="F16" s="29">
        <v>1249.8055072582308</v>
      </c>
      <c r="G16" s="29">
        <v>1249.8075358428589</v>
      </c>
      <c r="H16" s="29">
        <v>1249.8096187827327</v>
      </c>
      <c r="J16" s="30"/>
      <c r="K16" s="30"/>
      <c r="L16" s="30"/>
      <c r="M16" s="30"/>
    </row>
    <row r="17" spans="1:13" s="27" customFormat="1" x14ac:dyDescent="0.3">
      <c r="A17" s="27" t="s">
        <v>26</v>
      </c>
      <c r="C17" s="29">
        <v>1339802.8548050262</v>
      </c>
      <c r="D17" s="29">
        <v>4156078.2326755687</v>
      </c>
      <c r="E17" s="29">
        <v>4165772.2641091445</v>
      </c>
      <c r="F17" s="29">
        <f>4165778.84902908+Amendments!F118+Amendments!O78</f>
        <v>4380342.2233829461</v>
      </c>
      <c r="G17" s="29">
        <f>4165785.61058908+Amendments!G118+Amendments!P78</f>
        <v>4413261.9277805882</v>
      </c>
      <c r="H17" s="29">
        <f>4165792.55332283+Amendments!H118+Amendments!Q78</f>
        <v>4413268.8705143379</v>
      </c>
      <c r="J17" s="32"/>
      <c r="K17" s="30"/>
      <c r="L17" s="30"/>
      <c r="M17" s="30"/>
    </row>
    <row r="18" spans="1:13" s="27" customFormat="1" x14ac:dyDescent="0.3">
      <c r="A18" s="27" t="s">
        <v>30</v>
      </c>
      <c r="C18" s="29">
        <v>5505.25</v>
      </c>
      <c r="D18" s="29">
        <v>22021</v>
      </c>
      <c r="E18" s="29">
        <v>22021</v>
      </c>
      <c r="F18" s="29">
        <v>22021</v>
      </c>
      <c r="G18" s="29">
        <v>22021</v>
      </c>
      <c r="H18" s="29">
        <v>22021</v>
      </c>
      <c r="J18" s="30"/>
      <c r="K18" s="30"/>
      <c r="L18" s="30"/>
      <c r="M18" s="30"/>
    </row>
    <row r="19" spans="1:13" s="27" customFormat="1" x14ac:dyDescent="0.3">
      <c r="A19" s="27" t="s">
        <v>29</v>
      </c>
      <c r="C19" s="29">
        <v>10203.023595018163</v>
      </c>
      <c r="D19" s="29">
        <v>40812.094380072653</v>
      </c>
      <c r="E19" s="29">
        <v>42036.457211474837</v>
      </c>
      <c r="F19" s="29">
        <v>43297.55092781908</v>
      </c>
      <c r="G19" s="29">
        <v>44596.477455653658</v>
      </c>
      <c r="H19" s="29">
        <v>45934.371779323257</v>
      </c>
      <c r="J19" s="30"/>
      <c r="K19" s="30"/>
      <c r="L19" s="30"/>
      <c r="M19" s="30"/>
    </row>
    <row r="20" spans="1:13" s="27" customFormat="1" x14ac:dyDescent="0.3">
      <c r="A20" s="27" t="s">
        <v>13</v>
      </c>
      <c r="C20" s="29">
        <v>523156.75</v>
      </c>
      <c r="D20" s="29">
        <v>2092627</v>
      </c>
      <c r="E20" s="29">
        <f>Amendments!E40</f>
        <v>3342376</v>
      </c>
      <c r="F20" s="29">
        <f>Amendments!F40</f>
        <v>3833975.0246139318</v>
      </c>
      <c r="G20" s="29">
        <f>Amendments!G40</f>
        <v>3910654.9471884165</v>
      </c>
      <c r="H20" s="29">
        <f>Amendments!H40</f>
        <v>3988868.0213038195</v>
      </c>
      <c r="J20" s="30"/>
      <c r="K20" s="30"/>
      <c r="L20" s="30"/>
      <c r="M20" s="30"/>
    </row>
    <row r="21" spans="1:13" s="27" customFormat="1" x14ac:dyDescent="0.3">
      <c r="A21" s="27" t="s">
        <v>63</v>
      </c>
      <c r="C21" s="33"/>
      <c r="D21" s="29">
        <v>170</v>
      </c>
      <c r="E21" s="29">
        <v>170</v>
      </c>
      <c r="F21" s="29">
        <v>170</v>
      </c>
      <c r="G21" s="29">
        <v>170</v>
      </c>
      <c r="H21" s="29">
        <v>170</v>
      </c>
      <c r="J21" s="30"/>
      <c r="K21" s="30"/>
      <c r="L21" s="30"/>
      <c r="M21" s="30"/>
    </row>
    <row r="22" spans="1:13" s="27" customFormat="1" x14ac:dyDescent="0.3">
      <c r="A22" s="27" t="s">
        <v>62</v>
      </c>
      <c r="C22" s="33"/>
      <c r="D22" s="29">
        <v>65</v>
      </c>
      <c r="E22" s="29">
        <v>65</v>
      </c>
      <c r="F22" s="29">
        <v>65</v>
      </c>
      <c r="G22" s="29">
        <v>65</v>
      </c>
      <c r="H22" s="29">
        <v>65</v>
      </c>
      <c r="J22" s="30"/>
      <c r="K22" s="30"/>
      <c r="L22" s="30"/>
      <c r="M22" s="30"/>
    </row>
    <row r="23" spans="1:13" s="27" customFormat="1" x14ac:dyDescent="0.3">
      <c r="A23" s="27" t="s">
        <v>61</v>
      </c>
      <c r="C23" s="33"/>
      <c r="D23" s="29">
        <v>3287</v>
      </c>
      <c r="E23" s="29">
        <v>6575</v>
      </c>
      <c r="F23" s="29">
        <v>6575</v>
      </c>
      <c r="G23" s="29">
        <v>6575</v>
      </c>
      <c r="H23" s="29">
        <v>6575</v>
      </c>
      <c r="J23" s="30"/>
      <c r="K23" s="30"/>
      <c r="L23" s="30"/>
      <c r="M23" s="30"/>
    </row>
    <row r="24" spans="1:13" s="27" customFormat="1" x14ac:dyDescent="0.3">
      <c r="A24" s="27" t="s">
        <v>60</v>
      </c>
      <c r="C24" s="33"/>
      <c r="D24" s="29">
        <v>1244</v>
      </c>
      <c r="E24" s="29">
        <v>2489</v>
      </c>
      <c r="F24" s="29">
        <v>2489</v>
      </c>
      <c r="G24" s="29">
        <v>2489</v>
      </c>
      <c r="H24" s="29">
        <v>2489</v>
      </c>
      <c r="J24" s="30"/>
      <c r="K24" s="30"/>
      <c r="L24" s="30"/>
      <c r="M24" s="30"/>
    </row>
    <row r="25" spans="1:13" s="27" customFormat="1" x14ac:dyDescent="0.3">
      <c r="A25" s="27" t="s">
        <v>59</v>
      </c>
      <c r="C25" s="33"/>
      <c r="D25" s="29">
        <v>232</v>
      </c>
      <c r="E25" s="29">
        <v>464</v>
      </c>
      <c r="F25" s="29">
        <v>464</v>
      </c>
      <c r="G25" s="29">
        <v>464</v>
      </c>
      <c r="H25" s="29">
        <v>464</v>
      </c>
      <c r="J25" s="30"/>
      <c r="K25" s="30"/>
      <c r="L25" s="30"/>
      <c r="M25" s="30"/>
    </row>
    <row r="26" spans="1:13" s="27" customFormat="1" x14ac:dyDescent="0.3">
      <c r="A26" s="27" t="s">
        <v>58</v>
      </c>
      <c r="C26" s="33"/>
      <c r="D26" s="29">
        <v>24</v>
      </c>
      <c r="E26" s="29">
        <v>49</v>
      </c>
      <c r="F26" s="29">
        <v>49</v>
      </c>
      <c r="G26" s="29">
        <v>49</v>
      </c>
      <c r="H26" s="29">
        <v>49</v>
      </c>
      <c r="J26" s="30"/>
      <c r="K26" s="30"/>
      <c r="L26" s="30"/>
      <c r="M26" s="30"/>
    </row>
    <row r="27" spans="1:13" s="27" customFormat="1" x14ac:dyDescent="0.3">
      <c r="A27" s="27" t="s">
        <v>57</v>
      </c>
      <c r="B27" s="29"/>
      <c r="C27" s="33"/>
      <c r="D27" s="29">
        <v>13</v>
      </c>
      <c r="E27" s="29">
        <v>27</v>
      </c>
      <c r="F27" s="29">
        <v>27</v>
      </c>
      <c r="G27" s="29">
        <v>27</v>
      </c>
      <c r="H27" s="29">
        <v>27</v>
      </c>
      <c r="J27" s="30"/>
      <c r="K27" s="30"/>
      <c r="L27" s="30"/>
      <c r="M27" s="30"/>
    </row>
    <row r="28" spans="1:13" s="27" customFormat="1" x14ac:dyDescent="0.3">
      <c r="A28" s="27" t="s">
        <v>116</v>
      </c>
      <c r="B28" s="29"/>
      <c r="C28" s="33"/>
      <c r="D28" s="33"/>
      <c r="E28" s="33"/>
      <c r="F28" s="29">
        <f>Amendments!F71</f>
        <v>188451.09426614575</v>
      </c>
      <c r="G28" s="29">
        <f>Amendments!G71</f>
        <v>347909.712491346</v>
      </c>
      <c r="H28" s="29">
        <f>Amendments!H71</f>
        <v>347909.712491346</v>
      </c>
      <c r="J28" s="30"/>
      <c r="K28" s="30"/>
      <c r="L28" s="30"/>
      <c r="M28" s="30"/>
    </row>
    <row r="29" spans="1:13" s="27" customFormat="1" x14ac:dyDescent="0.3">
      <c r="A29" s="27" t="s">
        <v>117</v>
      </c>
      <c r="B29" s="29"/>
      <c r="C29" s="33"/>
      <c r="D29" s="33"/>
      <c r="E29" s="33"/>
      <c r="F29" s="29">
        <f>Amendments!F72</f>
        <v>79532.051182557159</v>
      </c>
      <c r="G29" s="29">
        <f>Amendments!G72</f>
        <v>146828.40218318245</v>
      </c>
      <c r="H29" s="29">
        <f>Amendments!H72</f>
        <v>146828.40218318245</v>
      </c>
      <c r="J29" s="30"/>
      <c r="K29" s="30"/>
      <c r="L29" s="30"/>
      <c r="M29" s="30"/>
    </row>
    <row r="30" spans="1:13" s="27" customFormat="1" x14ac:dyDescent="0.3">
      <c r="A30" s="27" t="s">
        <v>118</v>
      </c>
      <c r="B30" s="29"/>
      <c r="C30" s="33"/>
      <c r="D30" s="33"/>
      <c r="E30" s="33"/>
      <c r="F30" s="29">
        <f>Amendments!F73</f>
        <v>4293.7438833422648</v>
      </c>
      <c r="G30" s="29">
        <f>Amendments!G73</f>
        <v>7926.9117846318732</v>
      </c>
      <c r="H30" s="29">
        <f>Amendments!H73</f>
        <v>7926.9117846318732</v>
      </c>
      <c r="J30" s="30"/>
      <c r="K30" s="30"/>
      <c r="L30" s="30"/>
      <c r="M30" s="30"/>
    </row>
    <row r="31" spans="1:13" s="27" customFormat="1" x14ac:dyDescent="0.3">
      <c r="A31" s="27" t="s">
        <v>119</v>
      </c>
      <c r="B31" s="29"/>
      <c r="C31" s="33"/>
      <c r="D31" s="33"/>
      <c r="E31" s="33"/>
      <c r="F31" s="29">
        <f>Amendments!F74</f>
        <v>7416.2188283788601</v>
      </c>
      <c r="G31" s="29">
        <f>Amendments!G74</f>
        <v>13691.480913930203</v>
      </c>
      <c r="H31" s="29">
        <f>Amendments!H74</f>
        <v>13691.480913930203</v>
      </c>
      <c r="J31" s="30"/>
      <c r="K31" s="30"/>
      <c r="L31" s="30"/>
      <c r="M31" s="30"/>
    </row>
    <row r="32" spans="1:13" s="27" customFormat="1" x14ac:dyDescent="0.3">
      <c r="A32" s="27" t="s">
        <v>120</v>
      </c>
      <c r="B32" s="29"/>
      <c r="C32" s="33"/>
      <c r="D32" s="33"/>
      <c r="E32" s="33"/>
      <c r="F32" s="29">
        <f>Amendments!F75</f>
        <v>489.04486381124349</v>
      </c>
      <c r="G32" s="29">
        <f>Amendments!G75</f>
        <v>902.85205626691106</v>
      </c>
      <c r="H32" s="29">
        <f>Amendments!H75</f>
        <v>902.85205626691106</v>
      </c>
      <c r="J32" s="30"/>
      <c r="K32" s="30"/>
      <c r="L32" s="30"/>
      <c r="M32" s="30"/>
    </row>
    <row r="33" spans="1:13" s="27" customFormat="1" x14ac:dyDescent="0.3">
      <c r="A33" s="27" t="s">
        <v>121</v>
      </c>
      <c r="B33" s="29"/>
      <c r="C33" s="33"/>
      <c r="D33" s="33"/>
      <c r="E33" s="33"/>
      <c r="F33" s="29">
        <f>Amendments!F76</f>
        <v>317.84262408137369</v>
      </c>
      <c r="G33" s="29">
        <f>Amendments!G76</f>
        <v>586.78638291945913</v>
      </c>
      <c r="H33" s="29">
        <f>Amendments!H76</f>
        <v>586.78638291945913</v>
      </c>
      <c r="J33" s="30"/>
      <c r="K33" s="30"/>
      <c r="L33" s="30"/>
      <c r="M33" s="30"/>
    </row>
    <row r="34" spans="1:13" s="27" customFormat="1" x14ac:dyDescent="0.3">
      <c r="A34" s="27" t="s">
        <v>108</v>
      </c>
      <c r="B34" s="29"/>
      <c r="C34" s="33"/>
      <c r="D34" s="33"/>
      <c r="E34" s="33"/>
      <c r="F34" s="29">
        <f>Amendments!F79</f>
        <v>67618.141435360099</v>
      </c>
      <c r="G34" s="29">
        <f>Amendments!G79</f>
        <v>124833.49188066478</v>
      </c>
      <c r="H34" s="29">
        <f>Amendments!H79</f>
        <v>124833.49188066478</v>
      </c>
      <c r="J34" s="30"/>
      <c r="K34" s="30"/>
      <c r="L34" s="30"/>
      <c r="M34" s="30"/>
    </row>
    <row r="35" spans="1:13" s="27" customFormat="1" ht="14.5" x14ac:dyDescent="0.35">
      <c r="A35" s="27" t="s">
        <v>114</v>
      </c>
      <c r="B35" s="29"/>
      <c r="C35" s="29"/>
      <c r="D35" s="29"/>
      <c r="E35" s="29">
        <f>Amendments!E96</f>
        <v>148.3950235314756</v>
      </c>
      <c r="F35" s="29">
        <f>Amendments!F96</f>
        <v>308.60041002639952</v>
      </c>
      <c r="G35" s="29">
        <f>Amendments!G96</f>
        <v>175.952537112855</v>
      </c>
      <c r="H35" s="29">
        <f>Amendments!H96</f>
        <v>31.494301235862178</v>
      </c>
      <c r="I35" s="34"/>
      <c r="J35" s="34"/>
      <c r="K35" s="30"/>
      <c r="L35" s="30"/>
      <c r="M35" s="30"/>
    </row>
    <row r="36" spans="1:13" s="27" customFormat="1" ht="14.5" x14ac:dyDescent="0.35">
      <c r="A36" s="27" t="s">
        <v>115</v>
      </c>
      <c r="B36" s="29"/>
      <c r="C36" s="29"/>
      <c r="D36" s="29"/>
      <c r="E36" s="29">
        <f>Amendments!E98</f>
        <v>3769.8188274254262</v>
      </c>
      <c r="F36" s="29">
        <f>Amendments!F98</f>
        <v>7839.667450990828</v>
      </c>
      <c r="G36" s="29">
        <f>Amendments!G98</f>
        <v>4469.8883517520344</v>
      </c>
      <c r="H36" s="29">
        <f>Amendments!H98</f>
        <v>800.07945637326668</v>
      </c>
      <c r="I36" s="34"/>
      <c r="J36" s="34"/>
      <c r="K36" s="30"/>
      <c r="L36" s="30"/>
      <c r="M36" s="30"/>
    </row>
    <row r="37" spans="1:13" s="27" customFormat="1" ht="26.5" x14ac:dyDescent="0.35">
      <c r="A37" s="25" t="s">
        <v>122</v>
      </c>
      <c r="B37" s="29"/>
      <c r="C37" s="29"/>
      <c r="D37" s="29"/>
      <c r="E37" s="29"/>
      <c r="F37" s="29">
        <f>Amendments!F60</f>
        <v>8616.0120445789707</v>
      </c>
      <c r="G37" s="29">
        <f>Amendments!G60</f>
        <v>25848.03613373691</v>
      </c>
      <c r="H37" s="29">
        <f>Amendments!H60</f>
        <v>43080.060222894856</v>
      </c>
      <c r="I37" s="34"/>
      <c r="J37" s="34"/>
      <c r="K37" s="30"/>
      <c r="L37" s="30"/>
      <c r="M37" s="30"/>
    </row>
    <row r="38" spans="1:13" s="27" customFormat="1" ht="14.5" x14ac:dyDescent="0.35">
      <c r="E38" s="34"/>
      <c r="F38" s="34"/>
      <c r="G38" s="34"/>
      <c r="H38" s="34"/>
      <c r="I38" s="34"/>
      <c r="J38" s="34"/>
    </row>
    <row r="39" spans="1:13" s="27" customFormat="1" x14ac:dyDescent="0.3">
      <c r="A39" s="26" t="s">
        <v>79</v>
      </c>
    </row>
    <row r="40" spans="1:13" s="27" customFormat="1" ht="15" customHeight="1" x14ac:dyDescent="0.3">
      <c r="A40" s="28" t="s">
        <v>75</v>
      </c>
      <c r="B40" s="27" t="s">
        <v>78</v>
      </c>
    </row>
    <row r="41" spans="1:13" s="27" customFormat="1" x14ac:dyDescent="0.3">
      <c r="A41" s="27" t="s">
        <v>69</v>
      </c>
      <c r="B41" s="35">
        <v>4.8000000000000001E-2</v>
      </c>
      <c r="C41" s="33">
        <v>451.74</v>
      </c>
      <c r="D41" s="33">
        <v>465.17283945468353</v>
      </c>
      <c r="E41" s="33">
        <v>487.50113574850837</v>
      </c>
      <c r="F41" s="36">
        <v>510.90119026443682</v>
      </c>
      <c r="G41" s="33">
        <v>535.42444739712982</v>
      </c>
      <c r="H41" s="33">
        <v>561.12482087219212</v>
      </c>
    </row>
    <row r="42" spans="1:13" s="27" customFormat="1" x14ac:dyDescent="0.3">
      <c r="A42" s="27" t="s">
        <v>68</v>
      </c>
      <c r="B42" s="35">
        <v>4.8000000000000001E-2</v>
      </c>
      <c r="C42" s="33">
        <v>1315.34</v>
      </c>
      <c r="D42" s="33">
        <v>1354.4526556167782</v>
      </c>
      <c r="E42" s="33">
        <v>1419.4663830863835</v>
      </c>
      <c r="F42" s="33">
        <v>1487.6007694745299</v>
      </c>
      <c r="G42" s="33">
        <v>1559.0056064093073</v>
      </c>
      <c r="H42" s="33">
        <v>1633.8378755169542</v>
      </c>
    </row>
    <row r="43" spans="1:13" s="27" customFormat="1" x14ac:dyDescent="0.3">
      <c r="A43" s="27" t="s">
        <v>67</v>
      </c>
      <c r="B43" s="35">
        <v>4.8000000000000001E-2</v>
      </c>
      <c r="C43" s="33">
        <v>460.97</v>
      </c>
      <c r="D43" s="33">
        <v>474.67730066725431</v>
      </c>
      <c r="E43" s="33">
        <v>497.46181109928256</v>
      </c>
      <c r="F43" s="33">
        <v>521.33997803204818</v>
      </c>
      <c r="G43" s="33">
        <v>546.36429697758649</v>
      </c>
      <c r="H43" s="33">
        <v>572.58978323251063</v>
      </c>
    </row>
    <row r="44" spans="1:13" s="27" customFormat="1" x14ac:dyDescent="0.3">
      <c r="A44" s="27" t="s">
        <v>66</v>
      </c>
      <c r="B44" s="35">
        <v>4.8000000000000001E-2</v>
      </c>
      <c r="C44" s="33">
        <v>586.71</v>
      </c>
      <c r="D44" s="33">
        <v>604.15627714273114</v>
      </c>
      <c r="E44" s="33">
        <v>633.15577844558231</v>
      </c>
      <c r="F44" s="33">
        <v>663.54725581097034</v>
      </c>
      <c r="G44" s="33">
        <v>695.39752408989693</v>
      </c>
      <c r="H44" s="33">
        <v>728.77660524621206</v>
      </c>
    </row>
    <row r="45" spans="1:13" s="27" customFormat="1" x14ac:dyDescent="0.3">
      <c r="A45" s="27" t="s">
        <v>65</v>
      </c>
      <c r="B45" s="35">
        <v>5.5E-2</v>
      </c>
      <c r="C45" s="33">
        <v>2125.2600000000002</v>
      </c>
      <c r="D45" s="33">
        <v>2197.5808180335453</v>
      </c>
      <c r="E45" s="33">
        <v>2318.44776302539</v>
      </c>
      <c r="F45" s="33">
        <v>2445.9623899917865</v>
      </c>
      <c r="G45" s="33">
        <v>2580.4903214413348</v>
      </c>
      <c r="H45" s="33">
        <v>2722.4172891206081</v>
      </c>
    </row>
    <row r="46" spans="1:13" s="27" customFormat="1" x14ac:dyDescent="0.3">
      <c r="C46" s="33"/>
      <c r="D46" s="33">
        <v>0</v>
      </c>
      <c r="E46" s="33"/>
      <c r="F46" s="33"/>
      <c r="G46" s="33"/>
      <c r="H46" s="33"/>
    </row>
    <row r="47" spans="1:13" s="27" customFormat="1" x14ac:dyDescent="0.3">
      <c r="A47" s="28" t="s">
        <v>77</v>
      </c>
      <c r="C47" s="33"/>
      <c r="D47" s="33">
        <v>0</v>
      </c>
      <c r="E47" s="33"/>
      <c r="F47" s="33"/>
      <c r="G47" s="33"/>
      <c r="H47" s="33"/>
    </row>
    <row r="48" spans="1:13" s="27" customFormat="1" x14ac:dyDescent="0.3">
      <c r="A48" s="27" t="s">
        <v>32</v>
      </c>
      <c r="B48" s="35">
        <v>4.8000000000000001E-2</v>
      </c>
      <c r="C48" s="33">
        <v>510.23</v>
      </c>
      <c r="D48" s="33">
        <v>525.40208499349887</v>
      </c>
      <c r="E48" s="33">
        <v>550.62138507318684</v>
      </c>
      <c r="F48" s="33">
        <v>577.05121155669985</v>
      </c>
      <c r="G48" s="33">
        <v>604.74966971142146</v>
      </c>
      <c r="H48" s="33">
        <v>633.7776538575697</v>
      </c>
    </row>
    <row r="49" spans="1:13" s="27" customFormat="1" x14ac:dyDescent="0.3">
      <c r="A49" s="27" t="s">
        <v>31</v>
      </c>
      <c r="B49" s="35">
        <v>5.5E-2</v>
      </c>
      <c r="C49" s="33">
        <v>408.64</v>
      </c>
      <c r="D49" s="33">
        <v>422.54567699068718</v>
      </c>
      <c r="E49" s="33">
        <v>445.78568922517496</v>
      </c>
      <c r="F49" s="33">
        <v>470.30390213255959</v>
      </c>
      <c r="G49" s="33">
        <v>496.17061674985035</v>
      </c>
      <c r="H49" s="33">
        <v>523.46000067109208</v>
      </c>
    </row>
    <row r="50" spans="1:13" s="27" customFormat="1" x14ac:dyDescent="0.3">
      <c r="A50" s="27" t="s">
        <v>26</v>
      </c>
      <c r="B50" s="35">
        <v>5.5E-2</v>
      </c>
      <c r="C50" s="33">
        <v>694.88</v>
      </c>
      <c r="D50" s="33">
        <v>718.52618448338069</v>
      </c>
      <c r="E50" s="33">
        <v>758.04512462996661</v>
      </c>
      <c r="F50" s="33">
        <v>799.73760648461473</v>
      </c>
      <c r="G50" s="33">
        <v>843.72317484126847</v>
      </c>
      <c r="H50" s="33">
        <v>890.12794945753819</v>
      </c>
    </row>
    <row r="51" spans="1:13" s="27" customFormat="1" x14ac:dyDescent="0.3">
      <c r="A51" s="27" t="s">
        <v>30</v>
      </c>
      <c r="B51" s="35">
        <v>5.6000000000000001E-2</v>
      </c>
      <c r="C51" s="33">
        <v>4167.7</v>
      </c>
      <c r="D51" s="33">
        <v>4312.0759224364838</v>
      </c>
      <c r="E51" s="33">
        <v>4553.5521740929271</v>
      </c>
      <c r="F51" s="33">
        <v>4808.551095842131</v>
      </c>
      <c r="G51" s="33">
        <v>5077.8299572092901</v>
      </c>
      <c r="H51" s="33">
        <v>5362.1884348130106</v>
      </c>
      <c r="J51" s="30"/>
      <c r="K51" s="30"/>
      <c r="L51" s="30"/>
      <c r="M51" s="30"/>
    </row>
    <row r="52" spans="1:13" s="27" customFormat="1" x14ac:dyDescent="0.3">
      <c r="A52" s="27" t="s">
        <v>29</v>
      </c>
      <c r="B52" s="35">
        <v>5.6000000000000001E-2</v>
      </c>
      <c r="C52" s="24">
        <v>9844.8768300178235</v>
      </c>
      <c r="D52" s="33">
        <v>10185.919413122987</v>
      </c>
      <c r="E52" s="33">
        <v>10756.330900257875</v>
      </c>
      <c r="F52" s="33">
        <v>11358.685430672316</v>
      </c>
      <c r="G52" s="33">
        <v>11994.771814789967</v>
      </c>
      <c r="H52" s="33">
        <v>12666.479036418206</v>
      </c>
      <c r="J52" s="30"/>
      <c r="K52" s="30"/>
      <c r="L52" s="30"/>
      <c r="M52" s="30"/>
    </row>
    <row r="53" spans="1:13" s="27" customFormat="1" x14ac:dyDescent="0.3">
      <c r="A53" s="27" t="s">
        <v>13</v>
      </c>
      <c r="B53" s="35">
        <v>5.6000000000000001E-2</v>
      </c>
      <c r="C53" s="33">
        <v>170.95776045145192</v>
      </c>
      <c r="D53" s="33">
        <v>176.88001597916596</v>
      </c>
      <c r="E53" s="33">
        <f>Amendments!E42</f>
        <v>196.2867093797617</v>
      </c>
      <c r="F53" s="33">
        <f>Amendments!F42</f>
        <v>215.36104647304444</v>
      </c>
      <c r="G53" s="33">
        <f>Amendments!G42</f>
        <v>227.42126507553496</v>
      </c>
      <c r="H53" s="33">
        <f>Amendments!H42</f>
        <v>240.15685591976492</v>
      </c>
      <c r="J53" s="30"/>
      <c r="K53" s="30"/>
      <c r="L53" s="30"/>
      <c r="M53" s="30"/>
    </row>
    <row r="54" spans="1:13" s="27" customFormat="1" x14ac:dyDescent="0.3">
      <c r="A54" s="27" t="s">
        <v>63</v>
      </c>
      <c r="B54" s="35">
        <v>4.8000000000000001E-2</v>
      </c>
      <c r="C54" s="33"/>
      <c r="D54" s="33">
        <v>465.17283945468353</v>
      </c>
      <c r="E54" s="33">
        <v>487.50113574850837</v>
      </c>
      <c r="F54" s="33">
        <v>510.90119026443682</v>
      </c>
      <c r="G54" s="33">
        <v>535.42444739712982</v>
      </c>
      <c r="H54" s="33">
        <v>561.12482087219212</v>
      </c>
      <c r="J54" s="30"/>
      <c r="K54" s="30"/>
      <c r="L54" s="30"/>
      <c r="M54" s="30"/>
    </row>
    <row r="55" spans="1:13" s="27" customFormat="1" x14ac:dyDescent="0.3">
      <c r="A55" s="27" t="s">
        <v>62</v>
      </c>
      <c r="B55" s="35">
        <v>4.8000000000000001E-2</v>
      </c>
      <c r="C55" s="33"/>
      <c r="D55" s="33">
        <v>1354.4526556167782</v>
      </c>
      <c r="E55" s="33">
        <v>1419.4663830863835</v>
      </c>
      <c r="F55" s="33">
        <v>1487.6007694745299</v>
      </c>
      <c r="G55" s="33">
        <v>1559.0056064093073</v>
      </c>
      <c r="H55" s="33">
        <v>1633.8378755169542</v>
      </c>
      <c r="J55" s="30"/>
      <c r="K55" s="30"/>
      <c r="L55" s="30"/>
      <c r="M55" s="30"/>
    </row>
    <row r="56" spans="1:13" s="27" customFormat="1" x14ac:dyDescent="0.3">
      <c r="A56" s="27" t="s">
        <v>61</v>
      </c>
      <c r="B56" s="35">
        <v>4.8000000000000001E-2</v>
      </c>
      <c r="C56" s="33"/>
      <c r="D56" s="33">
        <v>465.17283945468353</v>
      </c>
      <c r="E56" s="33">
        <v>487.50113574850837</v>
      </c>
      <c r="F56" s="33">
        <v>510.90119026443682</v>
      </c>
      <c r="G56" s="33">
        <v>535.42444739712982</v>
      </c>
      <c r="H56" s="33">
        <v>561.12482087219212</v>
      </c>
      <c r="J56" s="30"/>
      <c r="K56" s="30"/>
      <c r="L56" s="30"/>
      <c r="M56" s="30"/>
    </row>
    <row r="57" spans="1:13" s="27" customFormat="1" x14ac:dyDescent="0.3">
      <c r="A57" s="27" t="s">
        <v>60</v>
      </c>
      <c r="B57" s="35">
        <v>4.8000000000000001E-2</v>
      </c>
      <c r="C57" s="33"/>
      <c r="D57" s="33">
        <v>1354.4526556167782</v>
      </c>
      <c r="E57" s="33">
        <v>1419.4663830863835</v>
      </c>
      <c r="F57" s="33">
        <v>1487.6007694745299</v>
      </c>
      <c r="G57" s="33">
        <v>1559.0056064093073</v>
      </c>
      <c r="H57" s="33">
        <v>1633.8378755169542</v>
      </c>
      <c r="J57" s="30"/>
      <c r="K57" s="30"/>
      <c r="L57" s="30"/>
      <c r="M57" s="30"/>
    </row>
    <row r="58" spans="1:13" s="27" customFormat="1" x14ac:dyDescent="0.3">
      <c r="A58" s="27" t="s">
        <v>59</v>
      </c>
      <c r="B58" s="35">
        <v>4.8000000000000001E-2</v>
      </c>
      <c r="C58" s="33"/>
      <c r="D58" s="33">
        <v>474.67730066725431</v>
      </c>
      <c r="E58" s="33">
        <v>497.46181109928256</v>
      </c>
      <c r="F58" s="33">
        <v>521.33997803204818</v>
      </c>
      <c r="G58" s="33">
        <v>546.36429697758649</v>
      </c>
      <c r="H58" s="33">
        <v>572.58978323251063</v>
      </c>
      <c r="J58" s="30"/>
      <c r="K58" s="30"/>
      <c r="L58" s="30"/>
      <c r="M58" s="30"/>
    </row>
    <row r="59" spans="1:13" s="27" customFormat="1" x14ac:dyDescent="0.3">
      <c r="A59" s="27" t="s">
        <v>58</v>
      </c>
      <c r="B59" s="35">
        <v>4.8000000000000001E-2</v>
      </c>
      <c r="C59" s="33"/>
      <c r="D59" s="33">
        <v>604.15627714273114</v>
      </c>
      <c r="E59" s="33">
        <v>633.15577844558231</v>
      </c>
      <c r="F59" s="33">
        <v>663.54725581097034</v>
      </c>
      <c r="G59" s="33">
        <v>695.39752408989693</v>
      </c>
      <c r="H59" s="33">
        <v>728.77660524621206</v>
      </c>
      <c r="J59" s="30"/>
      <c r="K59" s="30"/>
      <c r="L59" s="30"/>
      <c r="M59" s="30"/>
    </row>
    <row r="60" spans="1:13" s="27" customFormat="1" x14ac:dyDescent="0.3">
      <c r="A60" s="27" t="s">
        <v>57</v>
      </c>
      <c r="B60" s="35">
        <v>5.5E-2</v>
      </c>
      <c r="C60" s="33"/>
      <c r="D60" s="33">
        <v>2197.5808180335453</v>
      </c>
      <c r="E60" s="33">
        <v>2318.44776302539</v>
      </c>
      <c r="F60" s="33">
        <v>2445.9623899917865</v>
      </c>
      <c r="G60" s="33">
        <v>2580.4903214413348</v>
      </c>
      <c r="H60" s="33">
        <v>2722.4172891206081</v>
      </c>
      <c r="J60" s="30"/>
      <c r="K60" s="30"/>
      <c r="L60" s="30"/>
      <c r="M60" s="30"/>
    </row>
    <row r="61" spans="1:13" s="27" customFormat="1" x14ac:dyDescent="0.3">
      <c r="A61" s="27" t="s">
        <v>116</v>
      </c>
      <c r="B61" s="35">
        <v>4.8000000000000001E-2</v>
      </c>
      <c r="C61" s="33"/>
      <c r="D61" s="33"/>
      <c r="E61" s="33"/>
      <c r="F61" s="36">
        <f t="shared" ref="F61:H65" si="0">F41</f>
        <v>510.90119026443682</v>
      </c>
      <c r="G61" s="36">
        <f t="shared" si="0"/>
        <v>535.42444739712982</v>
      </c>
      <c r="H61" s="36">
        <f t="shared" si="0"/>
        <v>561.12482087219212</v>
      </c>
      <c r="J61" s="30"/>
      <c r="K61" s="30"/>
      <c r="L61" s="30"/>
      <c r="M61" s="30"/>
    </row>
    <row r="62" spans="1:13" s="27" customFormat="1" x14ac:dyDescent="0.3">
      <c r="A62" s="27" t="s">
        <v>117</v>
      </c>
      <c r="B62" s="35">
        <v>4.8000000000000001E-2</v>
      </c>
      <c r="C62" s="33"/>
      <c r="D62" s="33"/>
      <c r="E62" s="33"/>
      <c r="F62" s="36">
        <f t="shared" si="0"/>
        <v>1487.6007694745299</v>
      </c>
      <c r="G62" s="36">
        <f t="shared" si="0"/>
        <v>1559.0056064093073</v>
      </c>
      <c r="H62" s="36">
        <f t="shared" si="0"/>
        <v>1633.8378755169542</v>
      </c>
      <c r="J62" s="30"/>
      <c r="K62" s="30"/>
      <c r="L62" s="30"/>
      <c r="M62" s="30"/>
    </row>
    <row r="63" spans="1:13" s="27" customFormat="1" x14ac:dyDescent="0.3">
      <c r="A63" s="27" t="s">
        <v>118</v>
      </c>
      <c r="B63" s="35">
        <v>4.8000000000000001E-2</v>
      </c>
      <c r="C63" s="33"/>
      <c r="D63" s="33"/>
      <c r="E63" s="33"/>
      <c r="F63" s="36">
        <f t="shared" si="0"/>
        <v>521.33997803204818</v>
      </c>
      <c r="G63" s="36">
        <f t="shared" si="0"/>
        <v>546.36429697758649</v>
      </c>
      <c r="H63" s="36">
        <f t="shared" si="0"/>
        <v>572.58978323251063</v>
      </c>
      <c r="J63" s="30"/>
      <c r="K63" s="30"/>
      <c r="L63" s="30"/>
      <c r="M63" s="30"/>
    </row>
    <row r="64" spans="1:13" s="27" customFormat="1" x14ac:dyDescent="0.3">
      <c r="A64" s="27" t="s">
        <v>119</v>
      </c>
      <c r="B64" s="35">
        <v>4.8000000000000001E-2</v>
      </c>
      <c r="C64" s="33"/>
      <c r="D64" s="33"/>
      <c r="E64" s="33"/>
      <c r="F64" s="36">
        <f t="shared" si="0"/>
        <v>663.54725581097034</v>
      </c>
      <c r="G64" s="36">
        <f t="shared" si="0"/>
        <v>695.39752408989693</v>
      </c>
      <c r="H64" s="36">
        <f t="shared" si="0"/>
        <v>728.77660524621206</v>
      </c>
      <c r="J64" s="30"/>
      <c r="K64" s="30"/>
      <c r="L64" s="30"/>
      <c r="M64" s="30"/>
    </row>
    <row r="65" spans="1:13" s="27" customFormat="1" x14ac:dyDescent="0.3">
      <c r="A65" s="27" t="s">
        <v>120</v>
      </c>
      <c r="B65" s="35">
        <v>5.5E-2</v>
      </c>
      <c r="C65" s="33"/>
      <c r="D65" s="33"/>
      <c r="E65" s="33"/>
      <c r="F65" s="36">
        <f t="shared" si="0"/>
        <v>2445.9623899917865</v>
      </c>
      <c r="G65" s="36">
        <f t="shared" si="0"/>
        <v>2580.4903214413348</v>
      </c>
      <c r="H65" s="36">
        <f t="shared" si="0"/>
        <v>2722.4172891206081</v>
      </c>
      <c r="J65" s="30"/>
      <c r="K65" s="30"/>
      <c r="L65" s="30"/>
      <c r="M65" s="30"/>
    </row>
    <row r="66" spans="1:13" s="27" customFormat="1" x14ac:dyDescent="0.3">
      <c r="A66" s="27" t="s">
        <v>121</v>
      </c>
      <c r="B66" s="35">
        <v>4.8000000000000001E-2</v>
      </c>
      <c r="C66" s="33"/>
      <c r="D66" s="33"/>
      <c r="E66" s="33"/>
      <c r="F66" s="29">
        <v>1432.46855242488</v>
      </c>
      <c r="G66" s="29">
        <v>614</v>
      </c>
      <c r="H66" s="29">
        <v>614</v>
      </c>
      <c r="J66" s="30"/>
      <c r="K66" s="30"/>
      <c r="L66" s="30"/>
      <c r="M66" s="30"/>
    </row>
    <row r="67" spans="1:13" s="27" customFormat="1" x14ac:dyDescent="0.3">
      <c r="A67" s="27" t="s">
        <v>108</v>
      </c>
      <c r="B67" s="35">
        <v>5.6000000000000001E-2</v>
      </c>
      <c r="C67" s="33"/>
      <c r="D67" s="33"/>
      <c r="E67" s="33"/>
      <c r="F67" s="24">
        <v>1037</v>
      </c>
      <c r="G67" s="24">
        <f>F67*(1+$B$67)</f>
        <v>1095.0720000000001</v>
      </c>
      <c r="H67" s="24">
        <f>G67*(1+$B$67)</f>
        <v>1156.3960320000001</v>
      </c>
      <c r="J67" s="30"/>
      <c r="K67" s="30"/>
      <c r="L67" s="30"/>
      <c r="M67" s="30"/>
    </row>
    <row r="68" spans="1:13" s="27" customFormat="1" x14ac:dyDescent="0.3">
      <c r="A68" s="27" t="s">
        <v>114</v>
      </c>
      <c r="B68" s="35">
        <v>4.8000000000000001E-2</v>
      </c>
      <c r="C68" s="33"/>
      <c r="D68" s="33"/>
      <c r="E68" s="24">
        <v>487.50113574850837</v>
      </c>
      <c r="F68" s="24">
        <v>510.90119026443682</v>
      </c>
      <c r="G68" s="24">
        <v>535.42444739712982</v>
      </c>
      <c r="H68" s="24">
        <v>561.12482087219212</v>
      </c>
      <c r="J68" s="30"/>
      <c r="K68" s="30"/>
      <c r="L68" s="30"/>
      <c r="M68" s="30"/>
    </row>
    <row r="69" spans="1:13" s="27" customFormat="1" x14ac:dyDescent="0.3">
      <c r="A69" s="27" t="s">
        <v>115</v>
      </c>
      <c r="B69" s="35">
        <v>5.6000000000000001E-2</v>
      </c>
      <c r="C69" s="33"/>
      <c r="D69" s="33"/>
      <c r="E69" s="24">
        <f>F69/(1+B69)</f>
        <v>982.00757575757575</v>
      </c>
      <c r="F69" s="24">
        <v>1037</v>
      </c>
      <c r="G69" s="24">
        <f>F69*(1+$B$67)</f>
        <v>1095.0720000000001</v>
      </c>
      <c r="H69" s="24">
        <f>G69*(1+$B$67)</f>
        <v>1156.3960320000001</v>
      </c>
      <c r="J69" s="30"/>
      <c r="K69" s="30"/>
      <c r="L69" s="30"/>
      <c r="M69" s="30"/>
    </row>
    <row r="70" spans="1:13" s="27" customFormat="1" ht="26" x14ac:dyDescent="0.3">
      <c r="A70" s="25" t="s">
        <v>122</v>
      </c>
      <c r="B70" s="35">
        <v>0.05</v>
      </c>
      <c r="C70" s="33"/>
      <c r="D70" s="33"/>
      <c r="E70" s="24"/>
      <c r="F70" s="24">
        <f>Amendments!F63</f>
        <v>2494.1813666513976</v>
      </c>
      <c r="G70" s="24">
        <f>Amendments!G63</f>
        <v>2618.8904349839677</v>
      </c>
      <c r="H70" s="24">
        <f>Amendments!H63</f>
        <v>2749.8349567331666</v>
      </c>
      <c r="J70" s="30"/>
      <c r="K70" s="30"/>
      <c r="L70" s="30"/>
      <c r="M70" s="30"/>
    </row>
    <row r="71" spans="1:13" s="27" customFormat="1" x14ac:dyDescent="0.3"/>
    <row r="72" spans="1:13" s="27" customFormat="1" x14ac:dyDescent="0.3">
      <c r="A72" s="26" t="s">
        <v>76</v>
      </c>
    </row>
    <row r="73" spans="1:13" s="27" customFormat="1" x14ac:dyDescent="0.3">
      <c r="A73" s="28" t="s">
        <v>75</v>
      </c>
    </row>
    <row r="74" spans="1:13" s="27" customFormat="1" x14ac:dyDescent="0.3">
      <c r="A74" s="27" t="s">
        <v>69</v>
      </c>
      <c r="C74" s="37">
        <f t="shared" ref="C74:H78" si="1">C8*C41</f>
        <v>1288028742.2540932</v>
      </c>
      <c r="D74" s="37">
        <f t="shared" si="1"/>
        <v>4578078211.9341879</v>
      </c>
      <c r="E74" s="37">
        <f t="shared" si="1"/>
        <v>4815938769.5235462</v>
      </c>
      <c r="F74" s="37">
        <f t="shared" si="1"/>
        <v>5101956559.2236414</v>
      </c>
      <c r="G74" s="37">
        <f t="shared" si="1"/>
        <v>5350745036.3973961</v>
      </c>
      <c r="H74" s="37">
        <f t="shared" si="1"/>
        <v>5611776584.4089403</v>
      </c>
      <c r="I74" s="38">
        <f t="shared" ref="I74:I79" si="2">SUM(C74:H74)</f>
        <v>26746523903.741802</v>
      </c>
    </row>
    <row r="75" spans="1:13" s="27" customFormat="1" x14ac:dyDescent="0.3">
      <c r="A75" s="27" t="s">
        <v>68</v>
      </c>
      <c r="C75" s="37">
        <f t="shared" si="1"/>
        <v>900871278.80207622</v>
      </c>
      <c r="D75" s="37">
        <f t="shared" si="1"/>
        <v>3664630869.1527448</v>
      </c>
      <c r="E75" s="37">
        <f t="shared" si="1"/>
        <v>3837913688.8864079</v>
      </c>
      <c r="F75" s="37">
        <f t="shared" si="1"/>
        <v>4088483861.4083023</v>
      </c>
      <c r="G75" s="37">
        <f t="shared" si="1"/>
        <v>4284737934.9994073</v>
      </c>
      <c r="H75" s="37">
        <f t="shared" si="1"/>
        <v>4490412725.1428108</v>
      </c>
      <c r="I75" s="38">
        <f t="shared" si="2"/>
        <v>21267050358.391747</v>
      </c>
    </row>
    <row r="76" spans="1:13" s="27" customFormat="1" x14ac:dyDescent="0.3">
      <c r="A76" s="27" t="s">
        <v>67</v>
      </c>
      <c r="C76" s="37">
        <f t="shared" si="1"/>
        <v>37433690.278901689</v>
      </c>
      <c r="D76" s="37">
        <f t="shared" si="1"/>
        <v>128000619.68673752</v>
      </c>
      <c r="E76" s="37">
        <f t="shared" si="1"/>
        <v>142087010.37077275</v>
      </c>
      <c r="F76" s="37">
        <f t="shared" si="1"/>
        <v>151322484.73805165</v>
      </c>
      <c r="G76" s="37">
        <f t="shared" si="1"/>
        <v>160046257.75164679</v>
      </c>
      <c r="H76" s="37">
        <f t="shared" si="1"/>
        <v>169301721.67762899</v>
      </c>
      <c r="I76" s="38">
        <f t="shared" si="2"/>
        <v>788191784.50373936</v>
      </c>
    </row>
    <row r="77" spans="1:13" s="27" customFormat="1" x14ac:dyDescent="0.3">
      <c r="A77" s="27" t="s">
        <v>66</v>
      </c>
      <c r="C77" s="37">
        <f t="shared" si="1"/>
        <v>31745947.812834743</v>
      </c>
      <c r="D77" s="37">
        <f t="shared" si="1"/>
        <v>129466217.65663815</v>
      </c>
      <c r="E77" s="37">
        <f t="shared" si="1"/>
        <v>135588222.75142303</v>
      </c>
      <c r="F77" s="37">
        <f t="shared" si="1"/>
        <v>144836134.29398701</v>
      </c>
      <c r="G77" s="37">
        <f t="shared" si="1"/>
        <v>151788510.50612742</v>
      </c>
      <c r="H77" s="37">
        <f t="shared" si="1"/>
        <v>159074619.17020622</v>
      </c>
      <c r="I77" s="38">
        <f t="shared" si="2"/>
        <v>752499652.19121659</v>
      </c>
    </row>
    <row r="78" spans="1:13" s="27" customFormat="1" x14ac:dyDescent="0.3">
      <c r="A78" s="27" t="s">
        <v>65</v>
      </c>
      <c r="C78" s="37">
        <f t="shared" si="1"/>
        <v>8097224.2496689567</v>
      </c>
      <c r="D78" s="37">
        <f t="shared" si="1"/>
        <v>29731837.058439877</v>
      </c>
      <c r="E78" s="37">
        <f t="shared" si="1"/>
        <v>31345631.873683557</v>
      </c>
      <c r="F78" s="37">
        <f t="shared" si="1"/>
        <v>33722230.471552461</v>
      </c>
      <c r="G78" s="37">
        <f t="shared" si="1"/>
        <v>35577009.888850622</v>
      </c>
      <c r="H78" s="37">
        <f t="shared" si="1"/>
        <v>37533806.898861594</v>
      </c>
      <c r="I78" s="38">
        <f t="shared" si="2"/>
        <v>176007740.44105706</v>
      </c>
    </row>
    <row r="79" spans="1:13" s="27" customFormat="1" ht="26" x14ac:dyDescent="0.3">
      <c r="A79" s="39" t="s">
        <v>74</v>
      </c>
      <c r="B79" s="26"/>
      <c r="C79" s="40">
        <f>SUM(C74:C78)</f>
        <v>2266176883.3975749</v>
      </c>
      <c r="D79" s="40">
        <f t="shared" ref="D79:H79" si="3">SUM(D74:D78)</f>
        <v>8529907755.4887486</v>
      </c>
      <c r="E79" s="40">
        <f t="shared" si="3"/>
        <v>8962873323.4058342</v>
      </c>
      <c r="F79" s="40">
        <f t="shared" si="3"/>
        <v>9520321270.1355343</v>
      </c>
      <c r="G79" s="40">
        <f t="shared" si="3"/>
        <v>9982894749.5434284</v>
      </c>
      <c r="H79" s="40">
        <f t="shared" si="3"/>
        <v>10468099457.298447</v>
      </c>
      <c r="I79" s="41">
        <f t="shared" si="2"/>
        <v>49730273439.269569</v>
      </c>
    </row>
    <row r="80" spans="1:13" s="27" customFormat="1" x14ac:dyDescent="0.3"/>
    <row r="81" spans="1:13" s="27" customFormat="1" x14ac:dyDescent="0.3">
      <c r="A81" s="28" t="s">
        <v>64</v>
      </c>
    </row>
    <row r="82" spans="1:13" s="27" customFormat="1" x14ac:dyDescent="0.3">
      <c r="A82" s="27" t="s">
        <v>32</v>
      </c>
      <c r="B82" s="35"/>
      <c r="C82" s="29">
        <f t="shared" ref="C82:H86" si="4">C15*C48</f>
        <v>48655158.97575935</v>
      </c>
      <c r="D82" s="29">
        <f t="shared" si="4"/>
        <v>203457353.38579601</v>
      </c>
      <c r="E82" s="29">
        <f t="shared" si="4"/>
        <v>213185964.51381379</v>
      </c>
      <c r="F82" s="29">
        <f t="shared" si="4"/>
        <v>227724277.68516833</v>
      </c>
      <c r="G82" s="29">
        <f t="shared" si="4"/>
        <v>238809301.00280273</v>
      </c>
      <c r="H82" s="29">
        <f t="shared" si="4"/>
        <v>250308070.3470526</v>
      </c>
      <c r="I82" s="42">
        <f t="shared" ref="I82:I109" si="5">SUM(C82:H82)</f>
        <v>1182140125.910393</v>
      </c>
      <c r="J82" s="30"/>
      <c r="K82" s="30"/>
      <c r="L82" s="30"/>
      <c r="M82" s="30"/>
    </row>
    <row r="83" spans="1:13" s="27" customFormat="1" x14ac:dyDescent="0.3">
      <c r="A83" s="27" t="s">
        <v>31</v>
      </c>
      <c r="C83" s="37">
        <f>C16*C49</f>
        <v>142411.04</v>
      </c>
      <c r="D83" s="37">
        <f t="shared" si="4"/>
        <v>528458.6440383005</v>
      </c>
      <c r="E83" s="37">
        <f t="shared" si="4"/>
        <v>557144.52876097721</v>
      </c>
      <c r="F83" s="37">
        <f t="shared" si="4"/>
        <v>587788.40697030898</v>
      </c>
      <c r="G83" s="37">
        <f t="shared" si="4"/>
        <v>620117.775877762</v>
      </c>
      <c r="H83" s="37">
        <f t="shared" si="4"/>
        <v>654225.34388674656</v>
      </c>
      <c r="I83" s="42">
        <f t="shared" si="5"/>
        <v>3090145.7395340954</v>
      </c>
    </row>
    <row r="84" spans="1:13" s="27" customFormat="1" x14ac:dyDescent="0.3">
      <c r="A84" s="27" t="s">
        <v>26</v>
      </c>
      <c r="B84" s="35"/>
      <c r="C84" s="29">
        <f>C17*C50</f>
        <v>931002207.74691665</v>
      </c>
      <c r="D84" s="29">
        <f t="shared" si="4"/>
        <v>2986251034.9388084</v>
      </c>
      <c r="E84" s="29">
        <f t="shared" si="4"/>
        <v>3157843355.1266747</v>
      </c>
      <c r="F84" s="29">
        <f t="shared" si="4"/>
        <v>3503124405.3117728</v>
      </c>
      <c r="G84" s="29">
        <f t="shared" si="4"/>
        <v>3723571365.1131349</v>
      </c>
      <c r="H84" s="29">
        <f t="shared" si="4"/>
        <v>3928373970.1157131</v>
      </c>
      <c r="I84" s="42">
        <f t="shared" si="5"/>
        <v>18230166338.35302</v>
      </c>
      <c r="J84" s="30"/>
      <c r="K84" s="30"/>
      <c r="L84" s="30"/>
      <c r="M84" s="30"/>
    </row>
    <row r="85" spans="1:13" s="27" customFormat="1" x14ac:dyDescent="0.3">
      <c r="A85" s="27" t="s">
        <v>30</v>
      </c>
      <c r="C85" s="37">
        <f>C18*C51</f>
        <v>22944230.425000001</v>
      </c>
      <c r="D85" s="37">
        <f t="shared" si="4"/>
        <v>94956223.887973815</v>
      </c>
      <c r="E85" s="37">
        <f t="shared" si="4"/>
        <v>100273772.42570035</v>
      </c>
      <c r="F85" s="37">
        <f t="shared" si="4"/>
        <v>105889103.68153957</v>
      </c>
      <c r="G85" s="37">
        <f t="shared" si="4"/>
        <v>111818893.48770578</v>
      </c>
      <c r="H85" s="37">
        <f t="shared" si="4"/>
        <v>118080751.5230173</v>
      </c>
      <c r="I85" s="42">
        <f t="shared" si="5"/>
        <v>553962975.43093681</v>
      </c>
    </row>
    <row r="86" spans="1:13" s="27" customFormat="1" x14ac:dyDescent="0.3">
      <c r="A86" s="27" t="s">
        <v>29</v>
      </c>
      <c r="B86" s="35"/>
      <c r="C86" s="37">
        <f>C19*C52</f>
        <v>100447510.58671947</v>
      </c>
      <c r="D86" s="37">
        <f t="shared" si="4"/>
        <v>415708704.43618959</v>
      </c>
      <c r="E86" s="37">
        <f t="shared" si="4"/>
        <v>452158043.64115477</v>
      </c>
      <c r="F86" s="37">
        <f t="shared" si="4"/>
        <v>491803260.90761119</v>
      </c>
      <c r="G86" s="37">
        <f t="shared" si="4"/>
        <v>534924570.82399064</v>
      </c>
      <c r="H86" s="37">
        <f t="shared" si="4"/>
        <v>581826757.19383812</v>
      </c>
      <c r="I86" s="42">
        <f t="shared" si="5"/>
        <v>2576868847.5895038</v>
      </c>
    </row>
    <row r="87" spans="1:13" s="27" customFormat="1" x14ac:dyDescent="0.3">
      <c r="A87" s="27" t="s">
        <v>13</v>
      </c>
      <c r="B87" s="35"/>
      <c r="C87" s="37">
        <f>C20*C53</f>
        <v>89437706.345060125</v>
      </c>
      <c r="D87" s="37">
        <f>D20*D53</f>
        <v>370143897.19843411</v>
      </c>
      <c r="E87" s="37">
        <f>E20*E53</f>
        <v>656063986.5498904</v>
      </c>
      <c r="F87" s="37">
        <f>F20*F53</f>
        <v>825688873.45237267</v>
      </c>
      <c r="G87" s="37">
        <f>G20*G53</f>
        <v>889366095.36348903</v>
      </c>
      <c r="H87" s="37">
        <f>H20*H53</f>
        <v>957954002.67521918</v>
      </c>
      <c r="I87" s="42">
        <f t="shared" si="5"/>
        <v>3788654561.5844655</v>
      </c>
    </row>
    <row r="88" spans="1:13" s="27" customFormat="1" x14ac:dyDescent="0.3">
      <c r="A88" s="27" t="s">
        <v>131</v>
      </c>
      <c r="B88" s="35"/>
      <c r="C88" s="29"/>
      <c r="D88" s="37">
        <v>71903276.676420599</v>
      </c>
      <c r="E88" s="37">
        <v>124899764.34776855</v>
      </c>
      <c r="F88" s="37">
        <v>163699764.34776855</v>
      </c>
      <c r="G88" s="37">
        <v>163699764.34776855</v>
      </c>
      <c r="H88" s="37">
        <v>163699764.34776855</v>
      </c>
      <c r="I88" s="42">
        <f t="shared" si="5"/>
        <v>687902334.06749475</v>
      </c>
    </row>
    <row r="89" spans="1:13" s="27" customFormat="1" x14ac:dyDescent="0.3">
      <c r="A89" s="27" t="s">
        <v>28</v>
      </c>
      <c r="B89" s="35"/>
      <c r="C89" s="29"/>
      <c r="D89" s="37">
        <f>Amendments!D47</f>
        <v>0</v>
      </c>
      <c r="E89" s="37">
        <f>Amendments!E47</f>
        <v>12500000</v>
      </c>
      <c r="F89" s="37">
        <f>Amendments!F47</f>
        <v>12500000</v>
      </c>
      <c r="G89" s="37">
        <f>Amendments!G47</f>
        <v>0</v>
      </c>
      <c r="H89" s="37">
        <f>Amendments!H47</f>
        <v>0</v>
      </c>
      <c r="I89" s="42">
        <f t="shared" si="5"/>
        <v>25000000</v>
      </c>
    </row>
    <row r="90" spans="1:13" s="27" customFormat="1" x14ac:dyDescent="0.3">
      <c r="A90" s="27" t="s">
        <v>142</v>
      </c>
      <c r="B90" s="35"/>
      <c r="C90" s="29"/>
      <c r="D90" s="37"/>
      <c r="E90" s="37">
        <f>Amendments!E27</f>
        <v>960311558.20000005</v>
      </c>
      <c r="F90" s="37">
        <f>Amendments!F27</f>
        <v>659463750</v>
      </c>
      <c r="G90" s="37">
        <f>Amendments!G27</f>
        <v>791356500</v>
      </c>
      <c r="H90" s="37">
        <f>Amendments!H27</f>
        <v>949627800</v>
      </c>
      <c r="I90" s="42">
        <f t="shared" si="5"/>
        <v>3360759608.1999998</v>
      </c>
    </row>
    <row r="91" spans="1:13" s="27" customFormat="1" x14ac:dyDescent="0.3">
      <c r="A91" s="27" t="s">
        <v>137</v>
      </c>
      <c r="B91" s="35"/>
      <c r="C91" s="29"/>
      <c r="D91" s="37"/>
      <c r="E91" s="37"/>
      <c r="F91" s="37">
        <f>Amendments!F21</f>
        <v>2007500</v>
      </c>
      <c r="G91" s="37">
        <f>Amendments!G21</f>
        <v>2586937.5</v>
      </c>
      <c r="H91" s="37">
        <f>Amendments!H21</f>
        <v>3621712.5</v>
      </c>
      <c r="I91" s="42">
        <f t="shared" si="5"/>
        <v>8216150</v>
      </c>
    </row>
    <row r="92" spans="1:13" s="27" customFormat="1" x14ac:dyDescent="0.3">
      <c r="A92" s="27" t="s">
        <v>63</v>
      </c>
      <c r="B92" s="35"/>
      <c r="C92" s="29"/>
      <c r="D92" s="37">
        <f t="shared" ref="D92:H98" si="6">D21*D54</f>
        <v>79079.382707296201</v>
      </c>
      <c r="E92" s="37">
        <f t="shared" si="6"/>
        <v>82875.193077246426</v>
      </c>
      <c r="F92" s="37">
        <f t="shared" si="6"/>
        <v>86853.202344954261</v>
      </c>
      <c r="G92" s="37">
        <f t="shared" si="6"/>
        <v>91022.156057512067</v>
      </c>
      <c r="H92" s="37">
        <f t="shared" si="6"/>
        <v>95391.219548272653</v>
      </c>
      <c r="I92" s="42">
        <f t="shared" si="5"/>
        <v>435221.15373528167</v>
      </c>
    </row>
    <row r="93" spans="1:13" s="27" customFormat="1" x14ac:dyDescent="0.3">
      <c r="A93" s="27" t="s">
        <v>62</v>
      </c>
      <c r="B93" s="35"/>
      <c r="C93" s="29"/>
      <c r="D93" s="37">
        <f t="shared" si="6"/>
        <v>88039.422615090589</v>
      </c>
      <c r="E93" s="37">
        <f t="shared" si="6"/>
        <v>92265.314900614932</v>
      </c>
      <c r="F93" s="37">
        <f t="shared" si="6"/>
        <v>96694.050015844448</v>
      </c>
      <c r="G93" s="37">
        <f t="shared" si="6"/>
        <v>101335.36441660498</v>
      </c>
      <c r="H93" s="37">
        <f t="shared" si="6"/>
        <v>106199.46190860202</v>
      </c>
      <c r="I93" s="42">
        <f t="shared" si="5"/>
        <v>484533.613856757</v>
      </c>
    </row>
    <row r="94" spans="1:13" s="27" customFormat="1" x14ac:dyDescent="0.3">
      <c r="A94" s="27" t="s">
        <v>61</v>
      </c>
      <c r="B94" s="35"/>
      <c r="C94" s="29"/>
      <c r="D94" s="37">
        <f t="shared" si="6"/>
        <v>1529023.1232875448</v>
      </c>
      <c r="E94" s="37">
        <f t="shared" si="6"/>
        <v>3205319.9675464425</v>
      </c>
      <c r="F94" s="37">
        <f t="shared" si="6"/>
        <v>3359175.3259886722</v>
      </c>
      <c r="G94" s="37">
        <f t="shared" si="6"/>
        <v>3520415.7416361286</v>
      </c>
      <c r="H94" s="37">
        <f t="shared" si="6"/>
        <v>3689395.6972346632</v>
      </c>
      <c r="I94" s="42">
        <f t="shared" si="5"/>
        <v>15303329.855693452</v>
      </c>
    </row>
    <row r="95" spans="1:13" s="27" customFormat="1" x14ac:dyDescent="0.3">
      <c r="A95" s="27" t="s">
        <v>60</v>
      </c>
      <c r="B95" s="35"/>
      <c r="C95" s="29"/>
      <c r="D95" s="37">
        <f t="shared" si="6"/>
        <v>1684939.1035872721</v>
      </c>
      <c r="E95" s="37">
        <f t="shared" si="6"/>
        <v>3533051.8275020085</v>
      </c>
      <c r="F95" s="37">
        <f t="shared" si="6"/>
        <v>3702638.315222105</v>
      </c>
      <c r="G95" s="37">
        <f t="shared" si="6"/>
        <v>3880364.9543527658</v>
      </c>
      <c r="H95" s="37">
        <f t="shared" si="6"/>
        <v>4066622.4721616991</v>
      </c>
      <c r="I95" s="42">
        <f t="shared" si="5"/>
        <v>16867616.672825851</v>
      </c>
    </row>
    <row r="96" spans="1:13" s="27" customFormat="1" x14ac:dyDescent="0.3">
      <c r="A96" s="27" t="s">
        <v>59</v>
      </c>
      <c r="B96" s="35"/>
      <c r="C96" s="29"/>
      <c r="D96" s="37">
        <f t="shared" si="6"/>
        <v>110125.133754803</v>
      </c>
      <c r="E96" s="37">
        <f t="shared" si="6"/>
        <v>230822.2803500671</v>
      </c>
      <c r="F96" s="37">
        <f t="shared" si="6"/>
        <v>241901.74980687036</v>
      </c>
      <c r="G96" s="37">
        <f t="shared" si="6"/>
        <v>253513.03379760013</v>
      </c>
      <c r="H96" s="37">
        <f t="shared" si="6"/>
        <v>265681.65941988491</v>
      </c>
      <c r="I96" s="42">
        <f t="shared" si="5"/>
        <v>1102043.8571292255</v>
      </c>
    </row>
    <row r="97" spans="1:13" s="27" customFormat="1" x14ac:dyDescent="0.3">
      <c r="A97" s="27" t="s">
        <v>58</v>
      </c>
      <c r="B97" s="35"/>
      <c r="C97" s="29"/>
      <c r="D97" s="37">
        <f t="shared" si="6"/>
        <v>14499.750651425547</v>
      </c>
      <c r="E97" s="37">
        <f t="shared" si="6"/>
        <v>31024.633143833533</v>
      </c>
      <c r="F97" s="37">
        <f t="shared" si="6"/>
        <v>32513.815534737547</v>
      </c>
      <c r="G97" s="37">
        <f t="shared" si="6"/>
        <v>34074.478680404951</v>
      </c>
      <c r="H97" s="37">
        <f t="shared" si="6"/>
        <v>35710.053657064389</v>
      </c>
      <c r="I97" s="42">
        <f t="shared" si="5"/>
        <v>147822.73166746597</v>
      </c>
    </row>
    <row r="98" spans="1:13" s="27" customFormat="1" x14ac:dyDescent="0.3">
      <c r="A98" s="27" t="s">
        <v>57</v>
      </c>
      <c r="B98" s="35"/>
      <c r="C98" s="29"/>
      <c r="D98" s="37">
        <f t="shared" si="6"/>
        <v>28568.550634436087</v>
      </c>
      <c r="E98" s="37">
        <f t="shared" si="6"/>
        <v>62598.089601685533</v>
      </c>
      <c r="F98" s="37">
        <f t="shared" si="6"/>
        <v>66040.98452977823</v>
      </c>
      <c r="G98" s="37">
        <f t="shared" si="6"/>
        <v>69673.238678916037</v>
      </c>
      <c r="H98" s="37">
        <f t="shared" si="6"/>
        <v>73505.266806256419</v>
      </c>
      <c r="I98" s="42">
        <f t="shared" si="5"/>
        <v>300386.13025107229</v>
      </c>
    </row>
    <row r="99" spans="1:13" s="27" customFormat="1" x14ac:dyDescent="0.3">
      <c r="A99" s="27" t="s">
        <v>116</v>
      </c>
      <c r="B99" s="35"/>
      <c r="C99" s="29"/>
      <c r="D99" s="29"/>
      <c r="E99" s="29"/>
      <c r="F99" s="29">
        <f t="shared" ref="F99:H108" si="7">F28*F61</f>
        <v>96279888.367209449</v>
      </c>
      <c r="G99" s="29">
        <f t="shared" si="7"/>
        <v>186279365.55477324</v>
      </c>
      <c r="H99" s="29">
        <f t="shared" si="7"/>
        <v>195220775.10140237</v>
      </c>
      <c r="I99" s="42">
        <f t="shared" si="5"/>
        <v>477780029.02338505</v>
      </c>
      <c r="J99" s="30"/>
      <c r="K99" s="30"/>
      <c r="L99" s="30"/>
      <c r="M99" s="30"/>
    </row>
    <row r="100" spans="1:13" s="27" customFormat="1" x14ac:dyDescent="0.3">
      <c r="A100" s="27" t="s">
        <v>117</v>
      </c>
      <c r="B100" s="35"/>
      <c r="C100" s="29"/>
      <c r="D100" s="29"/>
      <c r="E100" s="29"/>
      <c r="F100" s="29">
        <f t="shared" si="7"/>
        <v>118311940.53705972</v>
      </c>
      <c r="G100" s="29">
        <f t="shared" si="7"/>
        <v>228906302.18370202</v>
      </c>
      <c r="H100" s="29">
        <f t="shared" si="7"/>
        <v>239893804.68851975</v>
      </c>
      <c r="I100" s="42">
        <f t="shared" si="5"/>
        <v>587112047.40928149</v>
      </c>
      <c r="J100" s="30"/>
      <c r="K100" s="30"/>
      <c r="L100" s="30"/>
      <c r="M100" s="30"/>
    </row>
    <row r="101" spans="1:13" s="27" customFormat="1" x14ac:dyDescent="0.3">
      <c r="A101" s="27" t="s">
        <v>118</v>
      </c>
      <c r="B101" s="35"/>
      <c r="C101" s="29"/>
      <c r="D101" s="29"/>
      <c r="E101" s="29"/>
      <c r="F101" s="29">
        <f t="shared" si="7"/>
        <v>2238500.3418168975</v>
      </c>
      <c r="G101" s="29">
        <f t="shared" si="7"/>
        <v>4330981.5844137389</v>
      </c>
      <c r="H101" s="29">
        <f t="shared" si="7"/>
        <v>4538868.7004655981</v>
      </c>
      <c r="I101" s="42">
        <f t="shared" si="5"/>
        <v>11108350.626696235</v>
      </c>
      <c r="J101" s="30"/>
      <c r="K101" s="30"/>
      <c r="L101" s="30"/>
      <c r="M101" s="30"/>
    </row>
    <row r="102" spans="1:13" s="27" customFormat="1" x14ac:dyDescent="0.3">
      <c r="A102" s="27" t="s">
        <v>119</v>
      </c>
      <c r="B102" s="35"/>
      <c r="C102" s="29"/>
      <c r="D102" s="29"/>
      <c r="E102" s="29"/>
      <c r="F102" s="29">
        <f t="shared" si="7"/>
        <v>4921011.6520644426</v>
      </c>
      <c r="G102" s="29">
        <f t="shared" si="7"/>
        <v>9521021.9286711421</v>
      </c>
      <c r="H102" s="29">
        <f t="shared" si="7"/>
        <v>9978030.981247358</v>
      </c>
      <c r="I102" s="42">
        <f t="shared" si="5"/>
        <v>24420064.561982945</v>
      </c>
      <c r="J102" s="30"/>
      <c r="K102" s="30"/>
      <c r="L102" s="30"/>
      <c r="M102" s="30"/>
    </row>
    <row r="103" spans="1:13" s="27" customFormat="1" x14ac:dyDescent="0.3">
      <c r="A103" s="27" t="s">
        <v>120</v>
      </c>
      <c r="B103" s="35"/>
      <c r="C103" s="29"/>
      <c r="D103" s="29"/>
      <c r="E103" s="29"/>
      <c r="F103" s="29">
        <f t="shared" si="7"/>
        <v>1196185.3439009569</v>
      </c>
      <c r="G103" s="29">
        <f t="shared" si="7"/>
        <v>2329800.9928901712</v>
      </c>
      <c r="H103" s="29">
        <f t="shared" si="7"/>
        <v>2457940.0474991309</v>
      </c>
      <c r="I103" s="42">
        <f t="shared" si="5"/>
        <v>5983926.3842902593</v>
      </c>
      <c r="J103" s="30"/>
      <c r="K103" s="30"/>
      <c r="L103" s="30"/>
      <c r="M103" s="30"/>
    </row>
    <row r="104" spans="1:13" s="27" customFormat="1" x14ac:dyDescent="0.3">
      <c r="A104" s="27" t="s">
        <v>121</v>
      </c>
      <c r="B104" s="35"/>
      <c r="C104" s="29"/>
      <c r="D104" s="29"/>
      <c r="E104" s="29"/>
      <c r="F104" s="29">
        <f t="shared" si="7"/>
        <v>455299.56361677067</v>
      </c>
      <c r="G104" s="29">
        <f t="shared" si="7"/>
        <v>360286.83911254792</v>
      </c>
      <c r="H104" s="29">
        <f t="shared" si="7"/>
        <v>360286.83911254792</v>
      </c>
      <c r="I104" s="42">
        <f t="shared" si="5"/>
        <v>1175873.2418418666</v>
      </c>
      <c r="J104" s="30"/>
      <c r="K104" s="30"/>
      <c r="L104" s="30"/>
      <c r="M104" s="30"/>
    </row>
    <row r="105" spans="1:13" s="27" customFormat="1" x14ac:dyDescent="0.3">
      <c r="A105" s="27" t="s">
        <v>108</v>
      </c>
      <c r="B105" s="35"/>
      <c r="C105" s="29"/>
      <c r="D105" s="29"/>
      <c r="E105" s="29"/>
      <c r="F105" s="29">
        <f t="shared" si="7"/>
        <v>70120012.668468416</v>
      </c>
      <c r="G105" s="29">
        <f t="shared" si="7"/>
        <v>136701661.62074336</v>
      </c>
      <c r="H105" s="29">
        <f t="shared" si="7"/>
        <v>144356954.67150497</v>
      </c>
      <c r="I105" s="42">
        <f t="shared" si="5"/>
        <v>351178628.96071672</v>
      </c>
      <c r="J105" s="30"/>
      <c r="K105" s="30"/>
      <c r="L105" s="30"/>
      <c r="M105" s="30"/>
    </row>
    <row r="106" spans="1:13" s="27" customFormat="1" x14ac:dyDescent="0.3">
      <c r="A106" s="27" t="s">
        <v>114</v>
      </c>
      <c r="B106" s="35"/>
      <c r="C106" s="29"/>
      <c r="D106" s="29"/>
      <c r="E106" s="29">
        <f>E35*E68</f>
        <v>72342.742511020988</v>
      </c>
      <c r="F106" s="29">
        <f t="shared" si="7"/>
        <v>157664.31679858075</v>
      </c>
      <c r="G106" s="29">
        <f t="shared" si="7"/>
        <v>94209.28995177336</v>
      </c>
      <c r="H106" s="29">
        <f t="shared" si="7"/>
        <v>17672.234139468022</v>
      </c>
      <c r="I106" s="42">
        <f t="shared" si="5"/>
        <v>341888.58340084308</v>
      </c>
      <c r="J106" s="30"/>
      <c r="K106" s="30"/>
      <c r="L106" s="30"/>
      <c r="M106" s="30"/>
    </row>
    <row r="107" spans="1:13" s="27" customFormat="1" x14ac:dyDescent="0.3">
      <c r="A107" s="27" t="s">
        <v>115</v>
      </c>
      <c r="B107" s="35"/>
      <c r="C107" s="29"/>
      <c r="D107" s="29"/>
      <c r="E107" s="29">
        <f>E36*E69</f>
        <v>3701990.6477653095</v>
      </c>
      <c r="F107" s="29">
        <f t="shared" si="7"/>
        <v>8129735.1466774885</v>
      </c>
      <c r="G107" s="29">
        <f t="shared" si="7"/>
        <v>4894849.5771298045</v>
      </c>
      <c r="H107" s="29">
        <f t="shared" si="7"/>
        <v>925208.70863476279</v>
      </c>
      <c r="I107" s="42">
        <f t="shared" si="5"/>
        <v>17651784.080207366</v>
      </c>
      <c r="J107" s="30"/>
      <c r="K107" s="30"/>
      <c r="L107" s="30"/>
      <c r="M107" s="30"/>
    </row>
    <row r="108" spans="1:13" s="27" customFormat="1" x14ac:dyDescent="0.3">
      <c r="A108" s="27" t="s">
        <v>122</v>
      </c>
      <c r="B108" s="35"/>
      <c r="C108" s="37"/>
      <c r="D108" s="37"/>
      <c r="E108" s="37"/>
      <c r="F108" s="37">
        <f t="shared" si="7"/>
        <v>21489896.696432881</v>
      </c>
      <c r="G108" s="37">
        <f t="shared" si="7"/>
        <v>67693174.593763575</v>
      </c>
      <c r="H108" s="37">
        <f t="shared" si="7"/>
        <v>118463055.53908628</v>
      </c>
      <c r="I108" s="42">
        <f t="shared" si="5"/>
        <v>207646126.82928273</v>
      </c>
    </row>
    <row r="109" spans="1:13" s="27" customFormat="1" x14ac:dyDescent="0.3">
      <c r="A109" s="27" t="s">
        <v>123</v>
      </c>
      <c r="B109" s="35"/>
      <c r="C109" s="37"/>
      <c r="D109" s="37"/>
      <c r="E109" s="37"/>
      <c r="F109" s="37">
        <f>Amendments!F64</f>
        <v>17500000</v>
      </c>
      <c r="G109" s="37">
        <f>Amendments!G64</f>
        <v>35000000</v>
      </c>
      <c r="H109" s="37">
        <f>Amendments!H64</f>
        <v>17500000</v>
      </c>
      <c r="I109" s="42">
        <f t="shared" si="5"/>
        <v>70000000</v>
      </c>
    </row>
    <row r="110" spans="1:13" s="27" customFormat="1" x14ac:dyDescent="0.3"/>
    <row r="111" spans="1:13" s="27" customFormat="1" x14ac:dyDescent="0.3">
      <c r="A111" s="27" t="s">
        <v>73</v>
      </c>
      <c r="C111" s="37">
        <v>186962999.99999997</v>
      </c>
      <c r="D111" s="37">
        <v>750656444.99999976</v>
      </c>
      <c r="E111" s="37">
        <v>761916291.67499971</v>
      </c>
      <c r="F111" s="37">
        <v>773345036.05012465</v>
      </c>
      <c r="G111" s="37">
        <v>784945211.59087646</v>
      </c>
      <c r="H111" s="37">
        <v>796719389.76473951</v>
      </c>
      <c r="I111" s="43">
        <v>4054545374.0807405</v>
      </c>
    </row>
    <row r="112" spans="1:13" s="27" customFormat="1" x14ac:dyDescent="0.3"/>
    <row r="113" spans="1:17" s="27" customFormat="1" ht="26" x14ac:dyDescent="0.3">
      <c r="A113" s="39" t="s">
        <v>72</v>
      </c>
      <c r="B113" s="26"/>
      <c r="C113" s="44">
        <f t="shared" ref="C113:H113" si="8">C111+C79</f>
        <v>2453139883.3975749</v>
      </c>
      <c r="D113" s="44">
        <f t="shared" si="8"/>
        <v>9280564200.4887486</v>
      </c>
      <c r="E113" s="44">
        <f t="shared" si="8"/>
        <v>9724789615.0808334</v>
      </c>
      <c r="F113" s="44">
        <f t="shared" si="8"/>
        <v>10293666306.185659</v>
      </c>
      <c r="G113" s="44">
        <f t="shared" si="8"/>
        <v>10767839961.134304</v>
      </c>
      <c r="H113" s="44">
        <f t="shared" si="8"/>
        <v>11264818847.063187</v>
      </c>
      <c r="I113" s="44">
        <f>I111+I79</f>
        <v>53784818813.350311</v>
      </c>
    </row>
    <row r="114" spans="1:17" s="27" customFormat="1" x14ac:dyDescent="0.3"/>
    <row r="115" spans="1:17" s="27" customFormat="1" x14ac:dyDescent="0.3"/>
    <row r="116" spans="1:17" s="27" customFormat="1" x14ac:dyDescent="0.3">
      <c r="A116" s="26" t="s">
        <v>71</v>
      </c>
    </row>
    <row r="117" spans="1:17" s="27" customFormat="1" x14ac:dyDescent="0.3">
      <c r="A117" s="28" t="s">
        <v>70</v>
      </c>
    </row>
    <row r="118" spans="1:17" s="27" customFormat="1" x14ac:dyDescent="0.3">
      <c r="A118" s="27" t="s">
        <v>69</v>
      </c>
      <c r="C118" s="37">
        <v>899453345.45081902</v>
      </c>
      <c r="D118" s="37">
        <v>3333241368.9292793</v>
      </c>
      <c r="E118" s="37">
        <v>3435348745.4217286</v>
      </c>
      <c r="F118" s="37">
        <f>3538196586.71+Amendments!F121</f>
        <v>3546319994.9719272</v>
      </c>
      <c r="G118" s="37">
        <f>3644261595.27743+Amendments!G121</f>
        <v>3652791173.9524536</v>
      </c>
      <c r="H118" s="37">
        <f>3753645232.54891+Amendments!H121</f>
        <v>3762601290.1576848</v>
      </c>
      <c r="I118" s="43">
        <f>SUM(C118:H118)</f>
        <v>18629755918.883892</v>
      </c>
    </row>
    <row r="119" spans="1:17" s="27" customFormat="1" x14ac:dyDescent="0.3">
      <c r="A119" s="27" t="s">
        <v>68</v>
      </c>
      <c r="C119" s="37">
        <v>702541561.76585269</v>
      </c>
      <c r="D119" s="37">
        <v>2889797066.9128156</v>
      </c>
      <c r="E119" s="37">
        <v>2978518102.8272948</v>
      </c>
      <c r="F119" s="37">
        <f>3069989490.85512+Amendments!F122</f>
        <v>3073601925.1778502</v>
      </c>
      <c r="G119" s="37">
        <f>3164296491.91181+Amendments!G122</f>
        <v>3168089547.9506764</v>
      </c>
      <c r="H119" s="37">
        <f>3261527010.00126+Amendments!H122</f>
        <v>3265509718.8420696</v>
      </c>
      <c r="I119" s="43">
        <f>SUM(C119:H119)</f>
        <v>16078057923.476559</v>
      </c>
    </row>
    <row r="120" spans="1:17" s="27" customFormat="1" x14ac:dyDescent="0.3">
      <c r="A120" s="27" t="s">
        <v>67</v>
      </c>
      <c r="C120" s="37">
        <v>30588914.430747438</v>
      </c>
      <c r="D120" s="37">
        <v>134838094.10353649</v>
      </c>
      <c r="E120" s="37">
        <v>139232890.09197754</v>
      </c>
      <c r="F120" s="37">
        <f>142871133.965556+Amendments!F123</f>
        <v>143035800.82914448</v>
      </c>
      <c r="G120" s="37">
        <f>146632798.036202+Amendments!G123</f>
        <v>146805698.2429699</v>
      </c>
      <c r="H120" s="37">
        <f>150522345.004472+Amendments!H123</f>
        <v>150703890.22157827</v>
      </c>
      <c r="I120" s="43">
        <f>SUM(C120:H120)</f>
        <v>745205287.91995406</v>
      </c>
    </row>
    <row r="121" spans="1:17" s="27" customFormat="1" x14ac:dyDescent="0.3">
      <c r="A121" s="27" t="s">
        <v>66</v>
      </c>
      <c r="C121" s="37">
        <v>18703307.570219401</v>
      </c>
      <c r="D121" s="37">
        <v>66049592.324168086</v>
      </c>
      <c r="E121" s="37">
        <v>68085867.405716062</v>
      </c>
      <c r="F121" s="37">
        <f>70185267.014792+Amendments!F124</f>
        <v>70519675.189931124</v>
      </c>
      <c r="G121" s="37">
        <f>72349748.0117494+Amendments!G124</f>
        <v>72700876.595645487</v>
      </c>
      <c r="H121" s="37">
        <f>74581327.9196123+Amendments!H124</f>
        <v>74950012.932703197</v>
      </c>
      <c r="I121" s="43">
        <f>SUM(C121:H121)</f>
        <v>371009332.01838332</v>
      </c>
    </row>
    <row r="122" spans="1:17" s="27" customFormat="1" x14ac:dyDescent="0.3">
      <c r="A122" s="27" t="s">
        <v>65</v>
      </c>
      <c r="C122" s="37">
        <v>3415607.6774240113</v>
      </c>
      <c r="D122" s="37">
        <v>12293142.828204863</v>
      </c>
      <c r="E122" s="37">
        <v>12668010.440736882</v>
      </c>
      <c r="F122" s="37">
        <f>13054498.9492574+Amendments!F125</f>
        <v>13076108.216026584</v>
      </c>
      <c r="G122" s="37">
        <f>13452968.601542+Amendments!F125</f>
        <v>13474577.868311184</v>
      </c>
      <c r="H122" s="37">
        <f>13863790.8130475+Amendments!H125</f>
        <v>13887615.029660525</v>
      </c>
      <c r="I122" s="43">
        <f>SUM(C122:H122)</f>
        <v>68815062.060364053</v>
      </c>
    </row>
    <row r="123" spans="1:17" s="27" customFormat="1" x14ac:dyDescent="0.3">
      <c r="C123" s="37"/>
      <c r="D123" s="37"/>
      <c r="E123" s="37"/>
      <c r="F123" s="37"/>
      <c r="G123" s="37"/>
      <c r="H123" s="37"/>
      <c r="I123" s="43"/>
    </row>
    <row r="124" spans="1:17" s="27" customFormat="1" x14ac:dyDescent="0.3">
      <c r="A124" s="28" t="s">
        <v>64</v>
      </c>
      <c r="C124" s="37"/>
      <c r="D124" s="37"/>
      <c r="E124" s="37"/>
      <c r="F124" s="37"/>
      <c r="G124" s="37"/>
      <c r="H124" s="37"/>
      <c r="I124" s="43"/>
    </row>
    <row r="125" spans="1:17" s="27" customFormat="1" x14ac:dyDescent="0.3">
      <c r="A125" s="27" t="s">
        <v>32</v>
      </c>
      <c r="C125" s="37">
        <v>32218876.314804751</v>
      </c>
      <c r="D125" s="37">
        <v>132387266.03534</v>
      </c>
      <c r="E125" s="37">
        <f>136482450.271394+0+Amendments!N103+Amendments!E8</f>
        <v>164917288.33306813</v>
      </c>
      <c r="F125" s="37">
        <f>140695974.998238+Amendments!F127+Amendments!O103+Amendments!F8</f>
        <v>195694271.43047938</v>
      </c>
      <c r="G125" s="37">
        <f>145040622.24+Amendments!G53+Amendments!G127+Amendments!P103+Amendments!G8</f>
        <v>270241063.69709337</v>
      </c>
      <c r="H125" s="37">
        <f>149520472.4+Amendments!H53+Amendments!H127+Amendments!Q103+Amendments!H8</f>
        <v>278992703.1718871</v>
      </c>
      <c r="I125" s="42">
        <f>SUM(C125:H125)</f>
        <v>1074451468.9826727</v>
      </c>
      <c r="L125" s="43"/>
      <c r="M125" s="43"/>
      <c r="N125" s="43"/>
      <c r="O125" s="43"/>
      <c r="P125" s="43"/>
      <c r="Q125" s="43"/>
    </row>
    <row r="126" spans="1:17" s="27" customFormat="1" x14ac:dyDescent="0.3">
      <c r="A126" s="27" t="s">
        <v>31</v>
      </c>
      <c r="C126" s="37">
        <v>125305.78</v>
      </c>
      <c r="D126" s="37">
        <v>443030.56915470993</v>
      </c>
      <c r="E126" s="37">
        <v>456764.51679850591</v>
      </c>
      <c r="F126" s="37">
        <v>470924.21681925957</v>
      </c>
      <c r="G126" s="37">
        <v>485522.86754065659</v>
      </c>
      <c r="H126" s="37">
        <v>500574.07643441693</v>
      </c>
      <c r="I126" s="42">
        <f t="shared" ref="I126:I152" si="9">SUM(C126:H126)</f>
        <v>2482122.026747549</v>
      </c>
      <c r="L126" s="43"/>
      <c r="M126" s="43"/>
      <c r="N126" s="43"/>
    </row>
    <row r="127" spans="1:17" s="27" customFormat="1" x14ac:dyDescent="0.3">
      <c r="A127" s="27" t="s">
        <v>26</v>
      </c>
      <c r="C127" s="37">
        <v>782889769.28920245</v>
      </c>
      <c r="D127" s="37">
        <v>2652712220.8046212</v>
      </c>
      <c r="E127" s="37">
        <v>2736786180.3281565</v>
      </c>
      <c r="F127" s="37">
        <f>2819780725.27526+Amendments!F128+Amendments!O89</f>
        <v>2903822233.0212846</v>
      </c>
      <c r="G127" s="37">
        <f>2905348101.11573+Amendments!G128+Amendments!P89</f>
        <v>3014810658.4964838</v>
      </c>
      <c r="H127" s="37">
        <f>2993568065.60725+Amendments!H128+Amendments!Q89</f>
        <v>3108503750.8570418</v>
      </c>
      <c r="I127" s="42">
        <f t="shared" si="9"/>
        <v>15199524812.796789</v>
      </c>
      <c r="L127" s="43"/>
      <c r="M127" s="43"/>
      <c r="N127" s="43"/>
    </row>
    <row r="128" spans="1:17" s="27" customFormat="1" x14ac:dyDescent="0.3">
      <c r="A128" s="27" t="s">
        <v>30</v>
      </c>
      <c r="C128" s="37">
        <v>22944230.425000001</v>
      </c>
      <c r="D128" s="37">
        <v>94956223.887973815</v>
      </c>
      <c r="E128" s="37">
        <v>100273772.42570035</v>
      </c>
      <c r="F128" s="37">
        <v>105889103.68153957</v>
      </c>
      <c r="G128" s="37">
        <v>111818893.48770578</v>
      </c>
      <c r="H128" s="37">
        <v>118080751.5230173</v>
      </c>
      <c r="I128" s="42">
        <f t="shared" si="9"/>
        <v>553962975.43093681</v>
      </c>
      <c r="L128" s="43"/>
      <c r="M128" s="43"/>
      <c r="N128" s="43"/>
    </row>
    <row r="129" spans="1:14" s="27" customFormat="1" x14ac:dyDescent="0.3">
      <c r="A129" s="27" t="s">
        <v>29</v>
      </c>
      <c r="C129" s="37"/>
      <c r="D129" s="37"/>
      <c r="E129" s="37"/>
      <c r="F129" s="37"/>
      <c r="G129" s="37"/>
      <c r="H129" s="37"/>
      <c r="I129" s="42">
        <f t="shared" si="9"/>
        <v>0</v>
      </c>
      <c r="L129" s="43"/>
      <c r="M129" s="43"/>
      <c r="N129" s="43"/>
    </row>
    <row r="130" spans="1:14" s="27" customFormat="1" x14ac:dyDescent="0.3">
      <c r="A130" s="27" t="s">
        <v>13</v>
      </c>
      <c r="C130" s="37">
        <v>89437706.345060125</v>
      </c>
      <c r="D130" s="37">
        <v>370143897.19843411</v>
      </c>
      <c r="E130" s="37">
        <f>Amendments!E41</f>
        <v>656063986.5498904</v>
      </c>
      <c r="F130" s="37">
        <f>Amendments!F41</f>
        <v>825688873.45237267</v>
      </c>
      <c r="G130" s="37">
        <f>Amendments!G41</f>
        <v>889366095.36348903</v>
      </c>
      <c r="H130" s="37">
        <f>Amendments!H41</f>
        <v>957954002.67521918</v>
      </c>
      <c r="I130" s="42">
        <f t="shared" si="9"/>
        <v>3788654561.5844655</v>
      </c>
      <c r="L130" s="43"/>
      <c r="M130" s="43"/>
      <c r="N130" s="43"/>
    </row>
    <row r="131" spans="1:14" s="27" customFormat="1" x14ac:dyDescent="0.3">
      <c r="A131" s="27" t="s">
        <v>131</v>
      </c>
      <c r="C131" s="37">
        <v>0</v>
      </c>
      <c r="D131" s="37">
        <v>71903276.676420599</v>
      </c>
      <c r="E131" s="37">
        <v>124899764.34776855</v>
      </c>
      <c r="F131" s="37">
        <v>163699764.34776855</v>
      </c>
      <c r="G131" s="37">
        <v>163699764.34776855</v>
      </c>
      <c r="H131" s="37">
        <v>163699764.34776855</v>
      </c>
      <c r="I131" s="42">
        <f t="shared" si="9"/>
        <v>687902334.06749475</v>
      </c>
      <c r="L131" s="43"/>
      <c r="M131" s="43"/>
      <c r="N131" s="43"/>
    </row>
    <row r="132" spans="1:14" s="27" customFormat="1" x14ac:dyDescent="0.3">
      <c r="A132" s="27" t="s">
        <v>28</v>
      </c>
      <c r="C132" s="37">
        <f>Amendments!C47</f>
        <v>0</v>
      </c>
      <c r="D132" s="37">
        <f>Amendments!D47</f>
        <v>0</v>
      </c>
      <c r="E132" s="37">
        <f>Amendments!E47</f>
        <v>12500000</v>
      </c>
      <c r="F132" s="37">
        <f>Amendments!F47</f>
        <v>12500000</v>
      </c>
      <c r="G132" s="37">
        <f>Amendments!G47</f>
        <v>0</v>
      </c>
      <c r="H132" s="37">
        <f>Amendments!H47</f>
        <v>0</v>
      </c>
      <c r="I132" s="42">
        <f t="shared" si="9"/>
        <v>25000000</v>
      </c>
      <c r="L132" s="43"/>
      <c r="M132" s="43"/>
      <c r="N132" s="43"/>
    </row>
    <row r="133" spans="1:14" s="27" customFormat="1" x14ac:dyDescent="0.3">
      <c r="A133" s="27" t="s">
        <v>142</v>
      </c>
      <c r="C133" s="37"/>
      <c r="D133" s="37"/>
      <c r="E133" s="37">
        <f>Amendments!E27</f>
        <v>960311558.20000005</v>
      </c>
      <c r="F133" s="37">
        <f>Amendments!F27</f>
        <v>659463750</v>
      </c>
      <c r="G133" s="37">
        <f>Amendments!G27</f>
        <v>791356500</v>
      </c>
      <c r="H133" s="37">
        <f>Amendments!H27</f>
        <v>949627800</v>
      </c>
      <c r="I133" s="42">
        <f t="shared" si="9"/>
        <v>3360759608.1999998</v>
      </c>
      <c r="L133" s="43"/>
      <c r="M133" s="43"/>
      <c r="N133" s="43"/>
    </row>
    <row r="134" spans="1:14" s="27" customFormat="1" x14ac:dyDescent="0.3">
      <c r="A134" s="27" t="s">
        <v>137</v>
      </c>
      <c r="C134" s="37"/>
      <c r="D134" s="37"/>
      <c r="E134" s="37"/>
      <c r="F134" s="37">
        <f>Amendments!F21</f>
        <v>2007500</v>
      </c>
      <c r="G134" s="37">
        <f>Amendments!G21</f>
        <v>2586937.5</v>
      </c>
      <c r="H134" s="37">
        <f>Amendments!H21</f>
        <v>3621712.5</v>
      </c>
      <c r="I134" s="42">
        <f t="shared" si="9"/>
        <v>8216150</v>
      </c>
      <c r="L134" s="43"/>
      <c r="M134" s="43"/>
      <c r="N134" s="43"/>
    </row>
    <row r="135" spans="1:14" s="27" customFormat="1" x14ac:dyDescent="0.3">
      <c r="A135" s="27" t="s">
        <v>63</v>
      </c>
      <c r="C135" s="37"/>
      <c r="D135" s="37">
        <v>79079.382707296201</v>
      </c>
      <c r="E135" s="37">
        <v>82875.193077246426</v>
      </c>
      <c r="F135" s="37">
        <v>86853.202344954261</v>
      </c>
      <c r="G135" s="37">
        <v>91022.156057512067</v>
      </c>
      <c r="H135" s="37">
        <v>95391.219548272653</v>
      </c>
      <c r="I135" s="42">
        <f t="shared" si="9"/>
        <v>435221.15373528167</v>
      </c>
      <c r="L135" s="43"/>
      <c r="M135" s="43"/>
      <c r="N135" s="43"/>
    </row>
    <row r="136" spans="1:14" s="27" customFormat="1" x14ac:dyDescent="0.3">
      <c r="A136" s="27" t="s">
        <v>62</v>
      </c>
      <c r="C136" s="37"/>
      <c r="D136" s="37">
        <v>88039.422615090589</v>
      </c>
      <c r="E136" s="37">
        <v>92265.314900614932</v>
      </c>
      <c r="F136" s="37">
        <v>96694.050015844448</v>
      </c>
      <c r="G136" s="37">
        <v>101335.36441660498</v>
      </c>
      <c r="H136" s="37">
        <v>106199.46190860202</v>
      </c>
      <c r="I136" s="42">
        <f t="shared" si="9"/>
        <v>484533.613856757</v>
      </c>
      <c r="L136" s="43"/>
      <c r="M136" s="43"/>
      <c r="N136" s="43"/>
    </row>
    <row r="137" spans="1:14" s="27" customFormat="1" x14ac:dyDescent="0.3">
      <c r="A137" s="27" t="s">
        <v>61</v>
      </c>
      <c r="C137" s="37"/>
      <c r="D137" s="37">
        <v>1529023.1232875448</v>
      </c>
      <c r="E137" s="37">
        <v>3205319.9675464425</v>
      </c>
      <c r="F137" s="37">
        <v>3359175.3259886722</v>
      </c>
      <c r="G137" s="37">
        <v>3520415.7416361286</v>
      </c>
      <c r="H137" s="37">
        <v>3689395.6972346632</v>
      </c>
      <c r="I137" s="42">
        <f t="shared" si="9"/>
        <v>15303329.855693452</v>
      </c>
      <c r="L137" s="43"/>
      <c r="M137" s="43"/>
      <c r="N137" s="43"/>
    </row>
    <row r="138" spans="1:14" s="27" customFormat="1" x14ac:dyDescent="0.3">
      <c r="A138" s="27" t="s">
        <v>60</v>
      </c>
      <c r="C138" s="37"/>
      <c r="D138" s="37">
        <v>1684939.1035872721</v>
      </c>
      <c r="E138" s="37">
        <v>3533051.8275020085</v>
      </c>
      <c r="F138" s="37">
        <v>3702638.315222105</v>
      </c>
      <c r="G138" s="37">
        <v>3880364.9543527658</v>
      </c>
      <c r="H138" s="37">
        <v>4066622.4721616991</v>
      </c>
      <c r="I138" s="42">
        <f t="shared" si="9"/>
        <v>16867616.672825851</v>
      </c>
      <c r="L138" s="43"/>
      <c r="M138" s="43"/>
      <c r="N138" s="43"/>
    </row>
    <row r="139" spans="1:14" s="27" customFormat="1" x14ac:dyDescent="0.3">
      <c r="A139" s="27" t="s">
        <v>59</v>
      </c>
      <c r="C139" s="37"/>
      <c r="D139" s="37">
        <v>110125.133754803</v>
      </c>
      <c r="E139" s="37">
        <v>230822.2803500671</v>
      </c>
      <c r="F139" s="37">
        <v>241901.74980687036</v>
      </c>
      <c r="G139" s="37">
        <v>253513.03379760013</v>
      </c>
      <c r="H139" s="37">
        <v>265681.65941988491</v>
      </c>
      <c r="I139" s="42">
        <f t="shared" si="9"/>
        <v>1102043.8571292255</v>
      </c>
      <c r="L139" s="43"/>
      <c r="M139" s="43"/>
      <c r="N139" s="43"/>
    </row>
    <row r="140" spans="1:14" s="27" customFormat="1" x14ac:dyDescent="0.3">
      <c r="A140" s="27" t="s">
        <v>58</v>
      </c>
      <c r="C140" s="37"/>
      <c r="D140" s="37">
        <v>14499.750651425547</v>
      </c>
      <c r="E140" s="37">
        <v>31024.633143833533</v>
      </c>
      <c r="F140" s="37">
        <v>32513.815534737547</v>
      </c>
      <c r="G140" s="37">
        <v>34074.478680404951</v>
      </c>
      <c r="H140" s="37">
        <v>35710.053657064389</v>
      </c>
      <c r="I140" s="42">
        <f t="shared" si="9"/>
        <v>147822.73166746597</v>
      </c>
      <c r="L140" s="43"/>
      <c r="M140" s="43"/>
      <c r="N140" s="43"/>
    </row>
    <row r="141" spans="1:14" s="27" customFormat="1" x14ac:dyDescent="0.3">
      <c r="A141" s="27" t="s">
        <v>57</v>
      </c>
      <c r="C141" s="37"/>
      <c r="D141" s="37">
        <v>28568.550634436087</v>
      </c>
      <c r="E141" s="37">
        <v>62598.089601685533</v>
      </c>
      <c r="F141" s="37">
        <v>66040.98452977823</v>
      </c>
      <c r="G141" s="37">
        <v>69673.238678916037</v>
      </c>
      <c r="H141" s="37">
        <v>73505.266806256419</v>
      </c>
      <c r="I141" s="42">
        <f t="shared" si="9"/>
        <v>300386.13025107229</v>
      </c>
      <c r="L141" s="43"/>
      <c r="M141" s="43"/>
      <c r="N141" s="43"/>
    </row>
    <row r="142" spans="1:14" s="27" customFormat="1" x14ac:dyDescent="0.3">
      <c r="A142" s="27" t="s">
        <v>116</v>
      </c>
      <c r="C142" s="29"/>
      <c r="D142" s="29"/>
      <c r="E142" s="29"/>
      <c r="F142" s="29">
        <f t="shared" ref="F142:H148" si="10">F99</f>
        <v>96279888.367209449</v>
      </c>
      <c r="G142" s="29">
        <f t="shared" si="10"/>
        <v>186279365.55477324</v>
      </c>
      <c r="H142" s="29">
        <f t="shared" si="10"/>
        <v>195220775.10140237</v>
      </c>
      <c r="I142" s="42">
        <f t="shared" si="9"/>
        <v>477780029.02338505</v>
      </c>
      <c r="J142" s="30"/>
      <c r="L142" s="43"/>
      <c r="M142" s="43"/>
      <c r="N142" s="43"/>
    </row>
    <row r="143" spans="1:14" s="27" customFormat="1" x14ac:dyDescent="0.3">
      <c r="A143" s="27" t="s">
        <v>117</v>
      </c>
      <c r="C143" s="29"/>
      <c r="D143" s="29"/>
      <c r="E143" s="29"/>
      <c r="F143" s="29">
        <f t="shared" si="10"/>
        <v>118311940.53705972</v>
      </c>
      <c r="G143" s="29">
        <f t="shared" si="10"/>
        <v>228906302.18370202</v>
      </c>
      <c r="H143" s="29">
        <f t="shared" si="10"/>
        <v>239893804.68851975</v>
      </c>
      <c r="I143" s="42">
        <f t="shared" si="9"/>
        <v>587112047.40928149</v>
      </c>
      <c r="J143" s="30"/>
      <c r="L143" s="43"/>
      <c r="M143" s="43"/>
      <c r="N143" s="43"/>
    </row>
    <row r="144" spans="1:14" s="27" customFormat="1" x14ac:dyDescent="0.3">
      <c r="A144" s="27" t="s">
        <v>118</v>
      </c>
      <c r="C144" s="29"/>
      <c r="D144" s="29"/>
      <c r="E144" s="29"/>
      <c r="F144" s="29">
        <f t="shared" si="10"/>
        <v>2238500.3418168975</v>
      </c>
      <c r="G144" s="29">
        <f t="shared" si="10"/>
        <v>4330981.5844137389</v>
      </c>
      <c r="H144" s="29">
        <f t="shared" si="10"/>
        <v>4538868.7004655981</v>
      </c>
      <c r="I144" s="42">
        <f t="shared" si="9"/>
        <v>11108350.626696235</v>
      </c>
      <c r="J144" s="30"/>
      <c r="L144" s="43"/>
      <c r="M144" s="43"/>
      <c r="N144" s="43"/>
    </row>
    <row r="145" spans="1:14" s="27" customFormat="1" x14ac:dyDescent="0.3">
      <c r="A145" s="27" t="s">
        <v>119</v>
      </c>
      <c r="C145" s="29"/>
      <c r="D145" s="29"/>
      <c r="E145" s="29"/>
      <c r="F145" s="29">
        <f t="shared" si="10"/>
        <v>4921011.6520644426</v>
      </c>
      <c r="G145" s="29">
        <f t="shared" si="10"/>
        <v>9521021.9286711421</v>
      </c>
      <c r="H145" s="29">
        <f t="shared" si="10"/>
        <v>9978030.981247358</v>
      </c>
      <c r="I145" s="42">
        <f t="shared" si="9"/>
        <v>24420064.561982945</v>
      </c>
      <c r="J145" s="30"/>
      <c r="L145" s="43"/>
      <c r="M145" s="43"/>
      <c r="N145" s="43"/>
    </row>
    <row r="146" spans="1:14" s="27" customFormat="1" x14ac:dyDescent="0.3">
      <c r="A146" s="27" t="s">
        <v>120</v>
      </c>
      <c r="C146" s="29"/>
      <c r="D146" s="29"/>
      <c r="E146" s="29"/>
      <c r="F146" s="29">
        <f t="shared" si="10"/>
        <v>1196185.3439009569</v>
      </c>
      <c r="G146" s="29">
        <f t="shared" si="10"/>
        <v>2329800.9928901712</v>
      </c>
      <c r="H146" s="29">
        <f t="shared" si="10"/>
        <v>2457940.0474991309</v>
      </c>
      <c r="I146" s="42">
        <f t="shared" si="9"/>
        <v>5983926.3842902593</v>
      </c>
      <c r="J146" s="30"/>
      <c r="L146" s="43"/>
      <c r="M146" s="43"/>
      <c r="N146" s="43"/>
    </row>
    <row r="147" spans="1:14" s="27" customFormat="1" x14ac:dyDescent="0.3">
      <c r="A147" s="27" t="s">
        <v>121</v>
      </c>
      <c r="C147" s="29"/>
      <c r="D147" s="29"/>
      <c r="E147" s="29"/>
      <c r="F147" s="29">
        <f t="shared" si="10"/>
        <v>455299.56361677067</v>
      </c>
      <c r="G147" s="29">
        <f t="shared" si="10"/>
        <v>360286.83911254792</v>
      </c>
      <c r="H147" s="29">
        <f t="shared" si="10"/>
        <v>360286.83911254792</v>
      </c>
      <c r="I147" s="42">
        <f t="shared" si="9"/>
        <v>1175873.2418418666</v>
      </c>
      <c r="J147" s="30"/>
      <c r="L147" s="43"/>
      <c r="M147" s="43"/>
      <c r="N147" s="43"/>
    </row>
    <row r="148" spans="1:14" s="27" customFormat="1" x14ac:dyDescent="0.3">
      <c r="A148" s="27" t="s">
        <v>108</v>
      </c>
      <c r="C148" s="29"/>
      <c r="D148" s="29"/>
      <c r="E148" s="29"/>
      <c r="F148" s="29">
        <f t="shared" si="10"/>
        <v>70120012.668468416</v>
      </c>
      <c r="G148" s="29">
        <f t="shared" si="10"/>
        <v>136701661.62074336</v>
      </c>
      <c r="H148" s="29">
        <f t="shared" si="10"/>
        <v>144356954.67150497</v>
      </c>
      <c r="I148" s="42">
        <f t="shared" si="9"/>
        <v>351178628.96071672</v>
      </c>
      <c r="J148" s="30"/>
      <c r="L148" s="43"/>
      <c r="M148" s="43"/>
      <c r="N148" s="43"/>
    </row>
    <row r="149" spans="1:14" s="27" customFormat="1" x14ac:dyDescent="0.3">
      <c r="A149" s="27" t="s">
        <v>114</v>
      </c>
      <c r="C149" s="29"/>
      <c r="D149" s="29"/>
      <c r="E149" s="29">
        <f>Amendments!E102</f>
        <v>72342.742511020988</v>
      </c>
      <c r="F149" s="29">
        <f>Amendments!F102</f>
        <v>157664.31679858075</v>
      </c>
      <c r="G149" s="29">
        <f>Amendments!G102</f>
        <v>94209.28995177336</v>
      </c>
      <c r="H149" s="29">
        <f>Amendments!H102</f>
        <v>17672.234139468019</v>
      </c>
      <c r="I149" s="42">
        <f t="shared" si="9"/>
        <v>341888.58340084308</v>
      </c>
      <c r="J149" s="30"/>
      <c r="L149" s="43"/>
      <c r="M149" s="43"/>
      <c r="N149" s="43"/>
    </row>
    <row r="150" spans="1:14" s="27" customFormat="1" x14ac:dyDescent="0.3">
      <c r="A150" s="27" t="s">
        <v>115</v>
      </c>
      <c r="C150" s="29"/>
      <c r="D150" s="29"/>
      <c r="E150" s="29">
        <f>Amendments!E104</f>
        <v>3723144.880038254</v>
      </c>
      <c r="F150" s="29">
        <f>Amendments!F104</f>
        <v>8114249.9368742928</v>
      </c>
      <c r="G150" s="29">
        <f>Amendments!G104</f>
        <v>4848514.4931096435</v>
      </c>
      <c r="H150" s="29">
        <f>Amendments!H104</f>
        <v>909507.79264656629</v>
      </c>
      <c r="I150" s="42">
        <f t="shared" si="9"/>
        <v>17595417.102668755</v>
      </c>
      <c r="J150" s="30"/>
      <c r="L150" s="43"/>
      <c r="M150" s="43"/>
      <c r="N150" s="43"/>
    </row>
    <row r="151" spans="1:14" s="27" customFormat="1" ht="14.5" x14ac:dyDescent="0.35">
      <c r="A151" s="27" t="s">
        <v>122</v>
      </c>
      <c r="C151" s="29"/>
      <c r="D151" s="34"/>
      <c r="E151" s="34"/>
      <c r="F151" s="37">
        <f>Amendments!F61+Amendments!F62</f>
        <v>21489896.696432881</v>
      </c>
      <c r="G151" s="37">
        <f>Amendments!G61+Amendments!G62</f>
        <v>67693174.593763575</v>
      </c>
      <c r="H151" s="37">
        <f>Amendments!H61+Amendments!H62</f>
        <v>118463055.53908628</v>
      </c>
      <c r="I151" s="42">
        <f t="shared" si="9"/>
        <v>207646126.82928273</v>
      </c>
      <c r="L151" s="43"/>
      <c r="M151" s="43"/>
      <c r="N151" s="43"/>
    </row>
    <row r="152" spans="1:14" s="27" customFormat="1" ht="14.5" x14ac:dyDescent="0.35">
      <c r="A152" s="27" t="s">
        <v>123</v>
      </c>
      <c r="C152" s="29"/>
      <c r="D152" s="34"/>
      <c r="E152" s="34"/>
      <c r="F152" s="37">
        <f>F109</f>
        <v>17500000</v>
      </c>
      <c r="G152" s="37">
        <f>G109</f>
        <v>35000000</v>
      </c>
      <c r="H152" s="37">
        <f>H109</f>
        <v>17500000</v>
      </c>
      <c r="I152" s="42">
        <f t="shared" si="9"/>
        <v>70000000</v>
      </c>
      <c r="L152" s="43"/>
      <c r="M152" s="43"/>
      <c r="N152" s="43"/>
    </row>
    <row r="153" spans="1:14" s="27" customFormat="1" x14ac:dyDescent="0.3">
      <c r="C153" s="37"/>
      <c r="D153" s="37"/>
      <c r="E153" s="37"/>
      <c r="F153" s="37"/>
      <c r="G153" s="37"/>
      <c r="H153" s="37"/>
      <c r="I153" s="43"/>
    </row>
    <row r="154" spans="1:14" s="27" customFormat="1" ht="15.5" x14ac:dyDescent="0.35">
      <c r="A154" s="28" t="s">
        <v>56</v>
      </c>
      <c r="C154" s="37"/>
      <c r="D154" s="45"/>
    </row>
    <row r="155" spans="1:14" s="27" customFormat="1" x14ac:dyDescent="0.3">
      <c r="A155" s="27" t="s">
        <v>55</v>
      </c>
      <c r="C155" s="37">
        <v>3327433.667456788</v>
      </c>
      <c r="D155" s="37">
        <v>12058865.85524586</v>
      </c>
      <c r="E155" s="37">
        <v>12430437.156373462</v>
      </c>
      <c r="F155" s="37">
        <f>12811472.704446+Amendments!F125</f>
        <v>12833081.971215183</v>
      </c>
      <c r="G155" s="37">
        <f>13204320.3545088+Amendments!G125</f>
        <v>13227010.084616443</v>
      </c>
      <c r="H155" s="37">
        <f>13609346.2817236+Amendments!H125</f>
        <v>13633170.498336624</v>
      </c>
      <c r="I155" s="42">
        <f t="shared" ref="I155:I168" si="11">SUM(C155:H155)</f>
        <v>67509999.233244359</v>
      </c>
    </row>
    <row r="156" spans="1:14" s="27" customFormat="1" x14ac:dyDescent="0.3">
      <c r="A156" s="27" t="s">
        <v>54</v>
      </c>
      <c r="C156" s="37">
        <v>19025.045000000002</v>
      </c>
      <c r="D156" s="37">
        <v>59093.424724419994</v>
      </c>
      <c r="E156" s="37">
        <v>60925.32089087701</v>
      </c>
      <c r="F156" s="37">
        <v>62814.005838494195</v>
      </c>
      <c r="G156" s="37">
        <v>64761.240019487508</v>
      </c>
      <c r="H156" s="37">
        <v>66768.838460091618</v>
      </c>
      <c r="I156" s="43">
        <f t="shared" si="11"/>
        <v>333387.87493337033</v>
      </c>
    </row>
    <row r="157" spans="1:14" s="27" customFormat="1" x14ac:dyDescent="0.3">
      <c r="A157" s="27" t="s">
        <v>53</v>
      </c>
      <c r="B157" s="35"/>
      <c r="C157" s="37">
        <v>2022978.3710558314</v>
      </c>
      <c r="D157" s="37">
        <v>8091913.4842233257</v>
      </c>
      <c r="E157" s="37">
        <v>8342762.8022342483</v>
      </c>
      <c r="F157" s="37">
        <v>8601388.44910351</v>
      </c>
      <c r="G157" s="37">
        <v>8868031.4910257179</v>
      </c>
      <c r="H157" s="37">
        <v>9142940.4672475141</v>
      </c>
      <c r="I157" s="43">
        <f t="shared" si="11"/>
        <v>45070015.064890146</v>
      </c>
    </row>
    <row r="158" spans="1:14" s="27" customFormat="1" x14ac:dyDescent="0.3">
      <c r="A158" s="27" t="s">
        <v>52</v>
      </c>
      <c r="B158" s="35"/>
      <c r="C158" s="37">
        <v>5501354.0653119944</v>
      </c>
      <c r="D158" s="37">
        <v>22005416.261247978</v>
      </c>
      <c r="E158" s="37">
        <v>30338890.729499456</v>
      </c>
      <c r="F158" s="37">
        <v>31850459.113844998</v>
      </c>
      <c r="G158" s="37">
        <v>33437185.611253642</v>
      </c>
      <c r="H158" s="37">
        <v>35102795.454305798</v>
      </c>
      <c r="I158" s="43">
        <f t="shared" si="11"/>
        <v>158236101.23546386</v>
      </c>
    </row>
    <row r="159" spans="1:14" s="27" customFormat="1" x14ac:dyDescent="0.3">
      <c r="A159" s="27" t="s">
        <v>51</v>
      </c>
      <c r="B159" s="35"/>
      <c r="C159" s="37">
        <v>106465600.37715359</v>
      </c>
      <c r="D159" s="37">
        <v>425862401.50861436</v>
      </c>
      <c r="E159" s="37">
        <v>439064135.95538139</v>
      </c>
      <c r="F159" s="37">
        <v>452675124.16999817</v>
      </c>
      <c r="G159" s="37">
        <v>466708053.0192681</v>
      </c>
      <c r="H159" s="37">
        <v>481176002.66286534</v>
      </c>
      <c r="I159" s="43">
        <f t="shared" si="11"/>
        <v>2371951317.6932807</v>
      </c>
      <c r="M159" s="46"/>
    </row>
    <row r="160" spans="1:14" s="27" customFormat="1" x14ac:dyDescent="0.3">
      <c r="A160" s="27" t="s">
        <v>50</v>
      </c>
      <c r="B160" s="35"/>
      <c r="C160" s="37">
        <v>3783857.75</v>
      </c>
      <c r="D160" s="37">
        <v>15135431</v>
      </c>
      <c r="E160" s="37">
        <v>15135431</v>
      </c>
      <c r="F160" s="37">
        <v>15135431</v>
      </c>
      <c r="G160" s="37">
        <v>15135431</v>
      </c>
      <c r="H160" s="37">
        <v>15135431</v>
      </c>
      <c r="I160" s="43">
        <f t="shared" si="11"/>
        <v>79461012.75</v>
      </c>
      <c r="M160" s="46"/>
    </row>
    <row r="161" spans="1:17" s="27" customFormat="1" x14ac:dyDescent="0.3">
      <c r="A161" s="27" t="s">
        <v>49</v>
      </c>
      <c r="B161" s="35"/>
      <c r="C161" s="37">
        <v>59387245.474002704</v>
      </c>
      <c r="D161" s="37">
        <v>237548981.89601082</v>
      </c>
      <c r="E161" s="37">
        <v>244974363.22433716</v>
      </c>
      <c r="F161" s="37">
        <v>252629931.37384158</v>
      </c>
      <c r="G161" s="37">
        <v>260522822.13598067</v>
      </c>
      <c r="H161" s="37">
        <v>268660392.51174605</v>
      </c>
      <c r="I161" s="43">
        <f t="shared" si="11"/>
        <v>1323723736.6159191</v>
      </c>
    </row>
    <row r="162" spans="1:17" s="27" customFormat="1" x14ac:dyDescent="0.3">
      <c r="A162" s="27" t="s">
        <v>48</v>
      </c>
      <c r="B162" s="35"/>
      <c r="C162" s="37">
        <v>2892077.7920999997</v>
      </c>
      <c r="D162" s="37">
        <v>11568311.168399999</v>
      </c>
      <c r="E162" s="33">
        <f>11926928.81+Amendments!E6</f>
        <v>50640940.701360002</v>
      </c>
      <c r="F162" s="33">
        <f>12296663.61+Amendments!F6</f>
        <v>86746480.075861648</v>
      </c>
      <c r="G162" s="33">
        <f>12677860.18+Amendments!G6</f>
        <v>90894837.35903424</v>
      </c>
      <c r="H162" s="33">
        <f>13070873.85+Amendments!H6</f>
        <v>95245630.074293375</v>
      </c>
      <c r="I162" s="43">
        <f t="shared" si="11"/>
        <v>337988277.17104924</v>
      </c>
    </row>
    <row r="163" spans="1:17" s="27" customFormat="1" x14ac:dyDescent="0.3">
      <c r="A163" s="27" t="s">
        <v>47</v>
      </c>
      <c r="C163" s="37"/>
      <c r="D163" s="37">
        <v>15000</v>
      </c>
      <c r="E163" s="37">
        <v>15000</v>
      </c>
      <c r="F163" s="37">
        <v>15000</v>
      </c>
      <c r="G163" s="37">
        <v>15000</v>
      </c>
      <c r="H163" s="37">
        <v>15000</v>
      </c>
      <c r="I163" s="43">
        <f t="shared" si="11"/>
        <v>75000</v>
      </c>
    </row>
    <row r="164" spans="1:17" s="27" customFormat="1" x14ac:dyDescent="0.3">
      <c r="A164" s="27" t="s">
        <v>46</v>
      </c>
      <c r="C164" s="37"/>
      <c r="D164" s="37">
        <v>3076288</v>
      </c>
      <c r="E164" s="37">
        <v>3167034</v>
      </c>
      <c r="F164" s="37">
        <v>3348526</v>
      </c>
      <c r="G164" s="37">
        <v>3439272</v>
      </c>
      <c r="H164" s="37">
        <v>3257780</v>
      </c>
      <c r="I164" s="43">
        <f t="shared" si="11"/>
        <v>16288900</v>
      </c>
    </row>
    <row r="165" spans="1:17" s="27" customFormat="1" x14ac:dyDescent="0.3">
      <c r="A165" s="27" t="s">
        <v>45</v>
      </c>
      <c r="C165" s="37">
        <v>102500000</v>
      </c>
      <c r="D165" s="37">
        <v>410000000</v>
      </c>
      <c r="E165" s="37">
        <v>490000000</v>
      </c>
      <c r="F165" s="37">
        <v>490000000</v>
      </c>
      <c r="G165" s="37">
        <v>490000000</v>
      </c>
      <c r="H165" s="37">
        <v>490000000</v>
      </c>
      <c r="I165" s="43">
        <f t="shared" si="11"/>
        <v>2472500000</v>
      </c>
    </row>
    <row r="166" spans="1:17" s="27" customFormat="1" x14ac:dyDescent="0.3">
      <c r="A166" s="27" t="s">
        <v>44</v>
      </c>
      <c r="C166" s="37"/>
      <c r="D166" s="37">
        <v>6010000</v>
      </c>
      <c r="E166" s="37">
        <v>10810000</v>
      </c>
      <c r="F166" s="37">
        <v>10810000</v>
      </c>
      <c r="G166" s="37">
        <v>10810000</v>
      </c>
      <c r="H166" s="37">
        <v>4800000</v>
      </c>
      <c r="I166" s="43">
        <f t="shared" si="11"/>
        <v>43240000</v>
      </c>
    </row>
    <row r="167" spans="1:17" s="27" customFormat="1" x14ac:dyDescent="0.3">
      <c r="A167" s="27" t="s">
        <v>43</v>
      </c>
      <c r="C167" s="37">
        <v>229200307.60148019</v>
      </c>
      <c r="D167" s="37">
        <v>911100130.92059803</v>
      </c>
      <c r="E167" s="37">
        <v>936499943.97554731</v>
      </c>
      <c r="F167" s="37">
        <v>902380944.47083294</v>
      </c>
      <c r="G167" s="37">
        <v>850502625.41051745</v>
      </c>
      <c r="H167" s="37">
        <v>850000000</v>
      </c>
      <c r="I167" s="43">
        <f t="shared" si="11"/>
        <v>4679683952.3789759</v>
      </c>
    </row>
    <row r="168" spans="1:17" s="27" customFormat="1" x14ac:dyDescent="0.3">
      <c r="A168" s="27" t="s">
        <v>42</v>
      </c>
      <c r="C168" s="37"/>
      <c r="D168" s="37">
        <v>4000000</v>
      </c>
      <c r="E168" s="37">
        <v>4000000</v>
      </c>
      <c r="F168" s="37">
        <v>4000000</v>
      </c>
      <c r="G168" s="37">
        <v>4000000</v>
      </c>
      <c r="H168" s="37">
        <v>4000000</v>
      </c>
      <c r="I168" s="43">
        <f t="shared" si="11"/>
        <v>20000000</v>
      </c>
    </row>
    <row r="169" spans="1:17" s="27" customFormat="1" x14ac:dyDescent="0.3">
      <c r="C169" s="37"/>
      <c r="D169" s="37"/>
      <c r="E169" s="37"/>
      <c r="F169" s="37"/>
      <c r="G169" s="37"/>
      <c r="H169" s="37"/>
    </row>
    <row r="170" spans="1:17" ht="13.5" thickBot="1" x14ac:dyDescent="0.35">
      <c r="C170" s="6"/>
      <c r="D170" s="6"/>
      <c r="E170" s="6"/>
      <c r="F170" s="6"/>
      <c r="G170" s="6"/>
      <c r="H170" s="6"/>
      <c r="I170" s="3" t="s">
        <v>41</v>
      </c>
      <c r="J170" s="21"/>
    </row>
    <row r="171" spans="1:17" ht="14" thickTop="1" thickBot="1" x14ac:dyDescent="0.35">
      <c r="A171" s="20" t="s">
        <v>40</v>
      </c>
      <c r="C171" s="19">
        <f t="shared" ref="C171:H171" si="12">C113-SUM(C118:C122)</f>
        <v>798437146.50251222</v>
      </c>
      <c r="D171" s="19">
        <f t="shared" si="12"/>
        <v>2844344935.3907442</v>
      </c>
      <c r="E171" s="19">
        <f t="shared" si="12"/>
        <v>3090935998.8933802</v>
      </c>
      <c r="F171" s="19">
        <f t="shared" si="12"/>
        <v>3447112801.8007803</v>
      </c>
      <c r="G171" s="19">
        <f t="shared" si="12"/>
        <v>3713978086.5242481</v>
      </c>
      <c r="H171" s="19">
        <f t="shared" si="12"/>
        <v>3997166319.8794909</v>
      </c>
      <c r="I171" s="18">
        <f>SUM(C171:H171)</f>
        <v>17891975288.991158</v>
      </c>
      <c r="J171" s="5"/>
      <c r="K171" s="5"/>
    </row>
    <row r="172" spans="1:17" ht="16" customHeight="1" thickTop="1" thickBot="1" x14ac:dyDescent="0.35">
      <c r="C172" s="6"/>
      <c r="D172" s="6"/>
      <c r="E172" s="6"/>
      <c r="F172" s="6"/>
      <c r="G172" s="73"/>
      <c r="H172" s="73"/>
      <c r="I172" s="5"/>
    </row>
    <row r="173" spans="1:17" ht="18.649999999999999" customHeight="1" x14ac:dyDescent="0.3">
      <c r="D173" s="6"/>
      <c r="E173" s="6"/>
      <c r="F173" s="6"/>
      <c r="G173" s="74" t="s">
        <v>39</v>
      </c>
      <c r="H173" s="75"/>
      <c r="I173" s="17">
        <f>I171</f>
        <v>17891975288.991158</v>
      </c>
      <c r="K173" s="6"/>
      <c r="L173" s="6"/>
      <c r="M173" s="6"/>
      <c r="N173" s="6"/>
      <c r="O173" s="6"/>
      <c r="P173" s="6"/>
      <c r="Q173" s="6"/>
    </row>
    <row r="174" spans="1:17" ht="16" customHeight="1" x14ac:dyDescent="0.35">
      <c r="C174" s="6"/>
      <c r="D174" s="6"/>
      <c r="E174" s="6"/>
      <c r="F174" s="6"/>
      <c r="G174" s="76" t="s">
        <v>38</v>
      </c>
      <c r="H174" s="77"/>
      <c r="I174" s="47">
        <v>28167993575</v>
      </c>
      <c r="K174" s="5"/>
      <c r="L174" s="5"/>
      <c r="M174" s="5"/>
      <c r="N174" s="5"/>
      <c r="O174" s="5"/>
      <c r="P174" s="5"/>
    </row>
    <row r="175" spans="1:17" ht="16" customHeight="1" x14ac:dyDescent="0.3">
      <c r="C175" s="6"/>
      <c r="D175" s="6"/>
      <c r="E175" s="6"/>
      <c r="F175" s="6"/>
      <c r="G175" s="13"/>
      <c r="H175" s="16" t="s">
        <v>37</v>
      </c>
      <c r="I175" s="12">
        <f>I174+I173</f>
        <v>46059968863.991158</v>
      </c>
      <c r="K175" s="5"/>
      <c r="L175" s="5"/>
      <c r="M175" s="5"/>
      <c r="N175" s="5"/>
      <c r="O175" s="5"/>
      <c r="P175" s="5"/>
    </row>
    <row r="176" spans="1:17" ht="16.5" customHeight="1" x14ac:dyDescent="0.3">
      <c r="C176" s="6"/>
      <c r="D176" s="6"/>
      <c r="E176" s="6"/>
      <c r="F176" s="6"/>
      <c r="G176" s="76" t="s">
        <v>36</v>
      </c>
      <c r="H176" s="77"/>
      <c r="I176" s="15">
        <v>18699799972</v>
      </c>
      <c r="K176" s="7"/>
    </row>
    <row r="177" spans="3:17" ht="16.5" customHeight="1" x14ac:dyDescent="0.3">
      <c r="C177" s="6"/>
      <c r="D177" s="6"/>
      <c r="E177" s="6"/>
      <c r="F177" s="6"/>
      <c r="G177" s="14"/>
      <c r="H177" s="13" t="s">
        <v>35</v>
      </c>
      <c r="I177" s="12">
        <f>MIN(I176,I175)</f>
        <v>18699799972</v>
      </c>
      <c r="K177" s="5"/>
      <c r="L177" s="5"/>
      <c r="M177" s="5"/>
      <c r="N177" s="5"/>
      <c r="O177" s="5"/>
      <c r="P177" s="5"/>
      <c r="Q177" s="5"/>
    </row>
    <row r="178" spans="3:17" ht="16.5" customHeight="1" thickBot="1" x14ac:dyDescent="0.35">
      <c r="C178" s="6"/>
      <c r="D178" s="6"/>
      <c r="E178" s="6"/>
      <c r="F178" s="6"/>
      <c r="G178" s="11"/>
      <c r="H178" s="10" t="s">
        <v>34</v>
      </c>
      <c r="I178" s="9">
        <f>SUM(I155:I168)</f>
        <v>11616061700.017757</v>
      </c>
    </row>
    <row r="179" spans="3:17" ht="18.649999999999999" customHeight="1" thickBot="1" x14ac:dyDescent="0.35">
      <c r="C179" s="6"/>
      <c r="D179" s="6"/>
      <c r="E179" s="6"/>
      <c r="F179" s="6"/>
      <c r="G179" s="78" t="s">
        <v>33</v>
      </c>
      <c r="H179" s="79"/>
      <c r="I179" s="8">
        <v>7357361956.9587822</v>
      </c>
      <c r="K179" s="5"/>
      <c r="L179" s="5"/>
      <c r="M179" s="5"/>
      <c r="N179" s="5"/>
      <c r="O179" s="5"/>
      <c r="P179" s="5"/>
    </row>
    <row r="180" spans="3:17" x14ac:dyDescent="0.3">
      <c r="C180" s="6"/>
      <c r="D180" s="6"/>
      <c r="E180" s="6"/>
      <c r="F180" s="6"/>
      <c r="G180" s="6"/>
      <c r="H180" s="6"/>
    </row>
    <row r="181" spans="3:17" x14ac:dyDescent="0.3">
      <c r="C181" s="6"/>
      <c r="D181" s="7"/>
      <c r="E181" s="7"/>
      <c r="F181" s="7"/>
      <c r="G181" s="7"/>
      <c r="H181" s="7"/>
      <c r="I181" s="5"/>
    </row>
    <row r="182" spans="3:17" x14ac:dyDescent="0.3">
      <c r="C182" s="6"/>
      <c r="D182" s="7"/>
      <c r="E182" s="7"/>
      <c r="F182" s="7"/>
      <c r="G182" s="7"/>
      <c r="H182" s="7"/>
      <c r="I182" s="5"/>
    </row>
    <row r="183" spans="3:17" x14ac:dyDescent="0.3">
      <c r="C183" s="6"/>
      <c r="D183" s="7"/>
      <c r="E183" s="7"/>
      <c r="F183" s="7"/>
      <c r="G183" s="7"/>
      <c r="H183" s="7"/>
      <c r="I183" s="5"/>
    </row>
    <row r="184" spans="3:17" x14ac:dyDescent="0.3">
      <c r="C184" s="6"/>
      <c r="D184" s="6"/>
      <c r="E184" s="6"/>
      <c r="F184" s="6"/>
      <c r="G184" s="6"/>
      <c r="H184" s="6"/>
      <c r="I184" s="5"/>
    </row>
    <row r="185" spans="3:17" x14ac:dyDescent="0.3">
      <c r="C185" s="6"/>
      <c r="D185" s="7"/>
      <c r="E185" s="7"/>
      <c r="F185" s="7"/>
      <c r="G185" s="7"/>
      <c r="H185" s="7"/>
      <c r="I185" s="5"/>
    </row>
    <row r="186" spans="3:17" x14ac:dyDescent="0.3">
      <c r="C186" s="6"/>
      <c r="D186" s="5"/>
      <c r="E186" s="5"/>
      <c r="F186" s="5"/>
      <c r="G186" s="5"/>
      <c r="H186" s="5"/>
      <c r="I186" s="5"/>
    </row>
    <row r="187" spans="3:17" x14ac:dyDescent="0.3">
      <c r="C187" s="6"/>
      <c r="D187" s="5"/>
      <c r="E187" s="5"/>
      <c r="F187" s="5"/>
      <c r="G187" s="5"/>
      <c r="H187" s="5"/>
      <c r="I187" s="5"/>
    </row>
    <row r="188" spans="3:17" x14ac:dyDescent="0.3">
      <c r="C188" s="6"/>
    </row>
    <row r="189" spans="3:17" x14ac:dyDescent="0.3">
      <c r="C189" s="6"/>
      <c r="I189" s="5"/>
    </row>
    <row r="190" spans="3:17" x14ac:dyDescent="0.3">
      <c r="C190" s="6"/>
      <c r="D190" s="5"/>
      <c r="E190" s="5"/>
      <c r="F190" s="5"/>
      <c r="G190" s="5"/>
      <c r="H190" s="5"/>
    </row>
    <row r="191" spans="3:17" x14ac:dyDescent="0.3">
      <c r="C191" s="6"/>
      <c r="D191" s="6"/>
      <c r="E191" s="6"/>
      <c r="F191" s="6"/>
      <c r="G191" s="6"/>
      <c r="H191" s="6"/>
      <c r="I191" s="6"/>
    </row>
    <row r="192" spans="3:17" x14ac:dyDescent="0.3">
      <c r="C192" s="6"/>
      <c r="D192" s="6"/>
      <c r="E192" s="6"/>
      <c r="F192" s="6"/>
      <c r="G192" s="6"/>
      <c r="H192" s="6"/>
      <c r="I192" s="5"/>
    </row>
    <row r="193" spans="3:9" x14ac:dyDescent="0.3">
      <c r="C193" s="6"/>
      <c r="D193" s="6"/>
      <c r="E193" s="6"/>
      <c r="F193" s="6"/>
      <c r="G193" s="6"/>
      <c r="H193" s="6"/>
      <c r="I193" s="5"/>
    </row>
    <row r="194" spans="3:9" x14ac:dyDescent="0.3">
      <c r="C194" s="6"/>
      <c r="D194" s="6"/>
      <c r="E194" s="6"/>
      <c r="F194" s="6"/>
      <c r="G194" s="6"/>
      <c r="H194" s="6"/>
      <c r="I194" s="5"/>
    </row>
    <row r="195" spans="3:9" x14ac:dyDescent="0.3">
      <c r="C195" s="6"/>
      <c r="D195" s="6"/>
      <c r="E195" s="6"/>
      <c r="F195" s="6"/>
      <c r="G195" s="6"/>
      <c r="H195" s="6"/>
      <c r="I195" s="5"/>
    </row>
    <row r="196" spans="3:9" x14ac:dyDescent="0.3">
      <c r="C196" s="6"/>
      <c r="D196" s="6"/>
      <c r="E196" s="6"/>
      <c r="F196" s="6"/>
      <c r="G196" s="6"/>
      <c r="H196" s="6"/>
      <c r="I196" s="5"/>
    </row>
    <row r="197" spans="3:9" x14ac:dyDescent="0.3">
      <c r="C197" s="6"/>
      <c r="D197" s="6"/>
      <c r="E197" s="6"/>
      <c r="F197" s="6"/>
      <c r="G197" s="6"/>
      <c r="H197" s="6"/>
      <c r="I197" s="5"/>
    </row>
    <row r="198" spans="3:9" x14ac:dyDescent="0.3">
      <c r="C198" s="6"/>
      <c r="D198" s="6"/>
      <c r="E198" s="6"/>
      <c r="F198" s="6"/>
      <c r="G198" s="6"/>
      <c r="H198" s="6"/>
      <c r="I198" s="5"/>
    </row>
    <row r="199" spans="3:9" s="4" customFormat="1" ht="15.5" x14ac:dyDescent="0.35"/>
    <row r="200" spans="3:9" s="4" customFormat="1" ht="15.5" x14ac:dyDescent="0.35"/>
    <row r="201" spans="3:9" s="4" customFormat="1" ht="15.5" x14ac:dyDescent="0.35"/>
    <row r="202" spans="3:9" s="4" customFormat="1" ht="15.5" x14ac:dyDescent="0.35"/>
    <row r="203" spans="3:9" s="4" customFormat="1" ht="15.5" x14ac:dyDescent="0.35"/>
    <row r="204" spans="3:9" s="4" customFormat="1" ht="15.5" x14ac:dyDescent="0.35"/>
    <row r="205" spans="3:9" s="4" customFormat="1" ht="15.5" x14ac:dyDescent="0.35"/>
    <row r="206" spans="3:9" s="4" customFormat="1" ht="15.5" x14ac:dyDescent="0.35"/>
    <row r="207" spans="3:9" s="4" customFormat="1" ht="15.5" x14ac:dyDescent="0.35"/>
    <row r="208" spans="3:9" s="4" customFormat="1" ht="15.5" x14ac:dyDescent="0.35"/>
    <row r="209" s="4" customFormat="1" ht="15.5" x14ac:dyDescent="0.35"/>
    <row r="210" s="4" customFormat="1" ht="15.5" x14ac:dyDescent="0.35"/>
    <row r="211" s="4" customFormat="1" ht="15.5" x14ac:dyDescent="0.35"/>
  </sheetData>
  <mergeCells count="5">
    <mergeCell ref="G172:H172"/>
    <mergeCell ref="G173:H173"/>
    <mergeCell ref="G174:H174"/>
    <mergeCell ref="G176:H176"/>
    <mergeCell ref="G179:H179"/>
  </mergeCells>
  <pageMargins left="0.7" right="0.7" top="0.75" bottom="0.75" header="0.3" footer="0.3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0573-7CE3-478A-BFA1-F1AD88EA2C2A}">
  <sheetPr>
    <tabColor rgb="FF00B0F0"/>
  </sheetPr>
  <dimension ref="A1:Q132"/>
  <sheetViews>
    <sheetView tabSelected="1" topLeftCell="A54" zoomScale="85" zoomScaleNormal="85" workbookViewId="0">
      <selection activeCell="E130" sqref="E130"/>
    </sheetView>
  </sheetViews>
  <sheetFormatPr defaultRowHeight="14.5" x14ac:dyDescent="0.35"/>
  <cols>
    <col min="1" max="1" width="20.54296875" bestFit="1" customWidth="1"/>
    <col min="2" max="2" width="40.26953125" customWidth="1"/>
    <col min="3" max="3" width="14.81640625" customWidth="1"/>
    <col min="4" max="4" width="15.54296875" customWidth="1"/>
    <col min="5" max="8" width="19.1796875" bestFit="1" customWidth="1"/>
    <col min="9" max="9" width="18.7265625" bestFit="1" customWidth="1"/>
    <col min="12" max="15" width="18" bestFit="1" customWidth="1"/>
    <col min="16" max="16" width="16.26953125" bestFit="1" customWidth="1"/>
    <col min="17" max="17" width="15.26953125" bestFit="1" customWidth="1"/>
  </cols>
  <sheetData>
    <row r="1" spans="2:15" x14ac:dyDescent="0.35">
      <c r="B1" s="48"/>
    </row>
    <row r="3" spans="2:15" x14ac:dyDescent="0.35">
      <c r="B3" s="48" t="s">
        <v>138</v>
      </c>
    </row>
    <row r="4" spans="2:15" x14ac:dyDescent="0.35">
      <c r="B4" t="s">
        <v>12</v>
      </c>
    </row>
    <row r="5" spans="2:15" x14ac:dyDescent="0.35">
      <c r="C5" t="s">
        <v>7</v>
      </c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L5" s="72"/>
      <c r="O5" s="49"/>
    </row>
    <row r="6" spans="2:15" x14ac:dyDescent="0.35">
      <c r="B6" s="50" t="s">
        <v>139</v>
      </c>
      <c r="C6" s="51">
        <v>0</v>
      </c>
      <c r="D6" s="51">
        <v>0</v>
      </c>
      <c r="E6" s="51">
        <v>38714011.89136</v>
      </c>
      <c r="F6" s="51">
        <v>74449816.465861648</v>
      </c>
      <c r="G6" s="51">
        <v>78216977.179034233</v>
      </c>
      <c r="H6" s="51">
        <v>82174756.224293381</v>
      </c>
      <c r="I6" s="51">
        <v>273555561.76054931</v>
      </c>
      <c r="L6" s="72"/>
      <c r="N6" s="49"/>
      <c r="O6" s="49"/>
    </row>
    <row r="7" spans="2:15" x14ac:dyDescent="0.35">
      <c r="L7" s="72"/>
      <c r="O7" s="49"/>
    </row>
    <row r="8" spans="2:15" x14ac:dyDescent="0.35">
      <c r="B8" s="50" t="s">
        <v>140</v>
      </c>
      <c r="C8" s="51"/>
      <c r="D8" s="51"/>
      <c r="E8" s="51">
        <v>28350710.952288002</v>
      </c>
      <c r="F8" s="51">
        <v>54513285.157375552</v>
      </c>
      <c r="G8" s="51">
        <v>57271657.386338755</v>
      </c>
      <c r="H8" s="51">
        <v>60169603.2500875</v>
      </c>
      <c r="I8" s="51">
        <v>200305256.74608982</v>
      </c>
      <c r="L8" s="72"/>
      <c r="N8" s="49"/>
      <c r="O8" s="52"/>
    </row>
    <row r="9" spans="2:15" x14ac:dyDescent="0.35">
      <c r="E9" s="53"/>
      <c r="F9" s="53"/>
      <c r="L9" s="72"/>
      <c r="O9" s="52"/>
    </row>
    <row r="10" spans="2:15" x14ac:dyDescent="0.35">
      <c r="B10" s="48" t="s">
        <v>97</v>
      </c>
      <c r="E10" s="54"/>
      <c r="F10" s="54"/>
      <c r="L10" s="72"/>
      <c r="N10" s="49"/>
      <c r="O10" s="55"/>
    </row>
    <row r="11" spans="2:15" x14ac:dyDescent="0.35">
      <c r="L11" s="72"/>
      <c r="N11" s="52"/>
      <c r="O11" s="53"/>
    </row>
    <row r="12" spans="2:15" x14ac:dyDescent="0.35">
      <c r="B12" t="s">
        <v>129</v>
      </c>
      <c r="L12" s="72"/>
      <c r="N12" s="52"/>
      <c r="O12" s="53"/>
    </row>
    <row r="13" spans="2:15" x14ac:dyDescent="0.35">
      <c r="B13" t="s">
        <v>130</v>
      </c>
      <c r="L13" s="72"/>
      <c r="N13" s="52"/>
      <c r="O13" s="52"/>
    </row>
    <row r="14" spans="2:15" x14ac:dyDescent="0.35">
      <c r="L14" s="72"/>
      <c r="N14" s="53"/>
    </row>
    <row r="15" spans="2:15" x14ac:dyDescent="0.35">
      <c r="B15" s="48" t="s">
        <v>136</v>
      </c>
      <c r="L15" s="72"/>
      <c r="N15" s="53"/>
      <c r="O15" s="49"/>
    </row>
    <row r="16" spans="2:15" x14ac:dyDescent="0.35">
      <c r="L16" s="72"/>
      <c r="N16" s="53"/>
    </row>
    <row r="17" spans="1:14" x14ac:dyDescent="0.35">
      <c r="E17" t="s">
        <v>1</v>
      </c>
      <c r="F17" t="s">
        <v>2</v>
      </c>
      <c r="G17" t="s">
        <v>3</v>
      </c>
      <c r="H17" t="s">
        <v>4</v>
      </c>
      <c r="I17" t="s">
        <v>5</v>
      </c>
      <c r="L17" s="72"/>
      <c r="N17" s="53"/>
    </row>
    <row r="18" spans="1:14" x14ac:dyDescent="0.35">
      <c r="B18" s="56" t="s">
        <v>133</v>
      </c>
      <c r="E18" s="51"/>
      <c r="F18" s="57">
        <v>22</v>
      </c>
      <c r="G18" s="57">
        <v>27</v>
      </c>
      <c r="H18" s="57">
        <v>36</v>
      </c>
      <c r="I18" s="51"/>
      <c r="L18" s="72"/>
      <c r="N18" s="53"/>
    </row>
    <row r="19" spans="1:14" x14ac:dyDescent="0.35">
      <c r="B19" s="50" t="s">
        <v>134</v>
      </c>
      <c r="E19" s="51"/>
      <c r="F19" s="58">
        <v>8030</v>
      </c>
      <c r="G19" s="58">
        <v>9855</v>
      </c>
      <c r="H19" s="58">
        <v>13140</v>
      </c>
      <c r="I19" s="51"/>
      <c r="L19" s="72"/>
      <c r="N19" s="53"/>
    </row>
    <row r="20" spans="1:14" x14ac:dyDescent="0.35">
      <c r="B20" s="50" t="s">
        <v>141</v>
      </c>
      <c r="E20" s="51"/>
      <c r="F20" s="51">
        <v>250</v>
      </c>
      <c r="G20" s="51">
        <v>262.5</v>
      </c>
      <c r="H20" s="51">
        <v>275.625</v>
      </c>
      <c r="I20" s="51"/>
      <c r="L20" s="72"/>
      <c r="N20" s="53"/>
    </row>
    <row r="21" spans="1:14" x14ac:dyDescent="0.35">
      <c r="B21" s="50" t="s">
        <v>135</v>
      </c>
      <c r="E21" s="51"/>
      <c r="F21" s="51">
        <v>2007500</v>
      </c>
      <c r="G21" s="51">
        <v>2586937.5</v>
      </c>
      <c r="H21" s="51">
        <v>3621712.5</v>
      </c>
      <c r="I21" s="51">
        <v>8216150</v>
      </c>
      <c r="N21" s="53"/>
    </row>
    <row r="22" spans="1:14" x14ac:dyDescent="0.35">
      <c r="N22" s="53"/>
    </row>
    <row r="23" spans="1:14" x14ac:dyDescent="0.35">
      <c r="N23" s="53"/>
    </row>
    <row r="24" spans="1:14" x14ac:dyDescent="0.35">
      <c r="B24" s="48" t="s">
        <v>143</v>
      </c>
      <c r="N24" s="53"/>
    </row>
    <row r="25" spans="1:14" x14ac:dyDescent="0.35">
      <c r="N25" s="53"/>
    </row>
    <row r="26" spans="1:14" x14ac:dyDescent="0.35">
      <c r="E26" t="s">
        <v>1</v>
      </c>
      <c r="F26" t="s">
        <v>2</v>
      </c>
      <c r="G26" t="s">
        <v>3</v>
      </c>
      <c r="H26" t="s">
        <v>4</v>
      </c>
      <c r="I26" t="s">
        <v>5</v>
      </c>
      <c r="N26" s="53"/>
    </row>
    <row r="27" spans="1:14" x14ac:dyDescent="0.35">
      <c r="B27" s="50" t="s">
        <v>5</v>
      </c>
      <c r="E27" s="51">
        <v>960311558.20000005</v>
      </c>
      <c r="F27" s="51">
        <v>659463750</v>
      </c>
      <c r="G27" s="51">
        <v>791356500</v>
      </c>
      <c r="H27" s="51">
        <v>949627800</v>
      </c>
      <c r="I27" s="51">
        <f>SUM(E27:H27)</f>
        <v>3360759608.1999998</v>
      </c>
      <c r="N27" s="53"/>
    </row>
    <row r="28" spans="1:14" x14ac:dyDescent="0.35">
      <c r="N28" s="53"/>
    </row>
    <row r="29" spans="1:14" x14ac:dyDescent="0.35">
      <c r="B29" s="48" t="s">
        <v>95</v>
      </c>
      <c r="N29" s="53"/>
    </row>
    <row r="30" spans="1:14" x14ac:dyDescent="0.35">
      <c r="B30" t="s">
        <v>12</v>
      </c>
      <c r="N30" s="52"/>
    </row>
    <row r="31" spans="1:14" x14ac:dyDescent="0.35">
      <c r="C31" t="s">
        <v>7</v>
      </c>
      <c r="D31" t="s">
        <v>0</v>
      </c>
      <c r="E31" t="s">
        <v>1</v>
      </c>
      <c r="F31" t="s">
        <v>2</v>
      </c>
      <c r="G31" t="s">
        <v>3</v>
      </c>
      <c r="H31" t="s">
        <v>4</v>
      </c>
      <c r="N31" s="49"/>
    </row>
    <row r="32" spans="1:14" x14ac:dyDescent="0.35">
      <c r="A32" s="80" t="s">
        <v>16</v>
      </c>
      <c r="B32" s="50" t="s">
        <v>10</v>
      </c>
      <c r="C32" s="59">
        <v>523156.75</v>
      </c>
      <c r="D32" s="59">
        <v>2092627</v>
      </c>
      <c r="E32" s="59">
        <v>2982376</v>
      </c>
      <c r="F32" s="59">
        <v>3088383</v>
      </c>
      <c r="G32" s="59">
        <v>3150151</v>
      </c>
      <c r="H32" s="59">
        <v>3213154</v>
      </c>
      <c r="J32" s="60"/>
      <c r="K32" s="60"/>
      <c r="L32" s="60"/>
    </row>
    <row r="33" spans="1:13" x14ac:dyDescent="0.35">
      <c r="A33" s="81"/>
      <c r="B33" s="50" t="s">
        <v>15</v>
      </c>
      <c r="C33" s="61">
        <v>170.95776045145192</v>
      </c>
      <c r="D33" s="61">
        <v>176.88001597916596</v>
      </c>
      <c r="E33" s="61">
        <v>186.78529687399927</v>
      </c>
      <c r="F33" s="61">
        <v>197.24527349894325</v>
      </c>
      <c r="G33" s="61">
        <v>208.29100881488409</v>
      </c>
      <c r="H33" s="61">
        <v>219.95530530851761</v>
      </c>
    </row>
    <row r="34" spans="1:13" x14ac:dyDescent="0.35">
      <c r="A34" s="82"/>
      <c r="B34" s="50" t="s">
        <v>14</v>
      </c>
      <c r="C34" s="23">
        <v>89437706.345060125</v>
      </c>
      <c r="D34" s="23">
        <v>370143897.19843411</v>
      </c>
      <c r="E34" s="23">
        <v>557063986.5498904</v>
      </c>
      <c r="F34" s="23">
        <v>609168949.5044868</v>
      </c>
      <c r="G34" s="23">
        <v>656148129.709216</v>
      </c>
      <c r="H34" s="23">
        <v>706750269.07328463</v>
      </c>
    </row>
    <row r="36" spans="1:13" x14ac:dyDescent="0.35">
      <c r="A36" s="83" t="s">
        <v>24</v>
      </c>
      <c r="B36" s="50" t="s">
        <v>10</v>
      </c>
      <c r="C36" s="50"/>
      <c r="D36" s="50"/>
      <c r="E36" s="59">
        <v>360000</v>
      </c>
      <c r="F36" s="59">
        <v>745592.02461393201</v>
      </c>
      <c r="G36" s="59">
        <v>760503.94718841626</v>
      </c>
      <c r="H36" s="59">
        <v>775714.02130381949</v>
      </c>
    </row>
    <row r="37" spans="1:13" x14ac:dyDescent="0.35">
      <c r="A37" s="84"/>
      <c r="B37" s="50" t="s">
        <v>11</v>
      </c>
      <c r="C37" s="50"/>
      <c r="D37" s="50"/>
      <c r="E37" s="61">
        <v>275</v>
      </c>
      <c r="F37" s="61">
        <v>290.40000000000003</v>
      </c>
      <c r="G37" s="61">
        <v>306.66240000000005</v>
      </c>
      <c r="H37" s="61">
        <v>323.83549440000007</v>
      </c>
    </row>
    <row r="38" spans="1:13" x14ac:dyDescent="0.35">
      <c r="A38" s="85"/>
      <c r="B38" s="50" t="s">
        <v>14</v>
      </c>
      <c r="C38" s="50"/>
      <c r="D38" s="50"/>
      <c r="E38" s="51">
        <v>99000000</v>
      </c>
      <c r="F38" s="51">
        <v>216519923.94788587</v>
      </c>
      <c r="G38" s="51">
        <v>233217965.65427303</v>
      </c>
      <c r="H38" s="51">
        <v>251203733.60193458</v>
      </c>
      <c r="I38" s="49"/>
    </row>
    <row r="40" spans="1:13" x14ac:dyDescent="0.35">
      <c r="A40" s="83" t="s">
        <v>25</v>
      </c>
      <c r="B40" s="50" t="s">
        <v>18</v>
      </c>
      <c r="C40" s="50"/>
      <c r="D40" s="50"/>
      <c r="E40" s="59">
        <v>3342376</v>
      </c>
      <c r="F40" s="59">
        <v>3833975.0246139318</v>
      </c>
      <c r="G40" s="59">
        <v>3910654.9471884165</v>
      </c>
      <c r="H40" s="59">
        <v>3988868.0213038195</v>
      </c>
      <c r="J40" s="2"/>
    </row>
    <row r="41" spans="1:13" x14ac:dyDescent="0.35">
      <c r="A41" s="84"/>
      <c r="B41" s="50" t="s">
        <v>19</v>
      </c>
      <c r="C41" s="50"/>
      <c r="D41" s="50"/>
      <c r="E41" s="51">
        <v>656063986.5498904</v>
      </c>
      <c r="F41" s="51">
        <v>825688873.45237267</v>
      </c>
      <c r="G41" s="51">
        <v>889366095.36348903</v>
      </c>
      <c r="H41" s="51">
        <v>957954002.67521918</v>
      </c>
    </row>
    <row r="42" spans="1:13" ht="29" x14ac:dyDescent="0.35">
      <c r="A42" s="85"/>
      <c r="B42" s="56" t="s">
        <v>17</v>
      </c>
      <c r="C42" s="50"/>
      <c r="D42" s="50"/>
      <c r="E42" s="61">
        <v>196.2867093797617</v>
      </c>
      <c r="F42" s="61">
        <v>215.36104647304444</v>
      </c>
      <c r="G42" s="61">
        <v>227.42126507553496</v>
      </c>
      <c r="H42" s="61">
        <v>240.15685591976492</v>
      </c>
      <c r="J42" s="1"/>
      <c r="K42" s="1"/>
      <c r="L42" s="1"/>
      <c r="M42" s="1"/>
    </row>
    <row r="44" spans="1:13" x14ac:dyDescent="0.35">
      <c r="B44" s="48" t="s">
        <v>20</v>
      </c>
    </row>
    <row r="45" spans="1:13" x14ac:dyDescent="0.35">
      <c r="C45" t="s">
        <v>7</v>
      </c>
      <c r="D45" t="s">
        <v>0</v>
      </c>
      <c r="E45" t="s">
        <v>1</v>
      </c>
      <c r="F45" t="s">
        <v>2</v>
      </c>
      <c r="G45" t="s">
        <v>3</v>
      </c>
      <c r="H45" t="s">
        <v>4</v>
      </c>
      <c r="I45" t="s">
        <v>5</v>
      </c>
    </row>
    <row r="46" spans="1:13" x14ac:dyDescent="0.35">
      <c r="B46" s="50" t="s">
        <v>9</v>
      </c>
      <c r="C46" s="23">
        <v>0</v>
      </c>
      <c r="D46" s="23">
        <v>0</v>
      </c>
      <c r="E46" s="23">
        <v>8000000</v>
      </c>
      <c r="F46" s="23">
        <v>0</v>
      </c>
      <c r="G46" s="23">
        <v>0</v>
      </c>
      <c r="H46" s="23">
        <v>0</v>
      </c>
      <c r="I46" s="23">
        <v>8000000</v>
      </c>
    </row>
    <row r="47" spans="1:13" x14ac:dyDescent="0.35">
      <c r="B47" s="50" t="s">
        <v>6</v>
      </c>
      <c r="C47" s="23">
        <v>0</v>
      </c>
      <c r="D47" s="23">
        <v>0</v>
      </c>
      <c r="E47" s="23">
        <v>12500000</v>
      </c>
      <c r="F47" s="23">
        <v>12500000</v>
      </c>
      <c r="G47" s="23">
        <v>0</v>
      </c>
      <c r="H47" s="23">
        <v>0</v>
      </c>
      <c r="I47" s="23">
        <v>25000000</v>
      </c>
    </row>
    <row r="48" spans="1:13" x14ac:dyDescent="0.35">
      <c r="B48" s="50" t="s">
        <v>8</v>
      </c>
      <c r="C48" s="62">
        <v>0</v>
      </c>
      <c r="D48" s="62">
        <v>0</v>
      </c>
      <c r="E48" s="62">
        <v>4500000</v>
      </c>
      <c r="F48" s="62">
        <v>12500000</v>
      </c>
      <c r="G48" s="62">
        <v>0</v>
      </c>
      <c r="H48" s="62">
        <v>0</v>
      </c>
      <c r="I48" s="62">
        <v>17000000</v>
      </c>
    </row>
    <row r="50" spans="2:10" x14ac:dyDescent="0.35">
      <c r="B50" s="48" t="s">
        <v>96</v>
      </c>
    </row>
    <row r="51" spans="2:10" x14ac:dyDescent="0.35">
      <c r="B51" t="s">
        <v>22</v>
      </c>
    </row>
    <row r="52" spans="2:10" x14ac:dyDescent="0.35">
      <c r="B52" t="s">
        <v>23</v>
      </c>
      <c r="C52" t="s">
        <v>7</v>
      </c>
      <c r="D52" t="s">
        <v>0</v>
      </c>
      <c r="E52" t="s">
        <v>1</v>
      </c>
      <c r="F52" t="s">
        <v>2</v>
      </c>
      <c r="G52" t="s">
        <v>3</v>
      </c>
      <c r="H52" t="s">
        <v>4</v>
      </c>
      <c r="I52" t="s">
        <v>5</v>
      </c>
      <c r="J52" t="s">
        <v>21</v>
      </c>
    </row>
    <row r="53" spans="2:10" x14ac:dyDescent="0.35">
      <c r="B53" s="50" t="s">
        <v>94</v>
      </c>
      <c r="C53" s="23">
        <v>0</v>
      </c>
      <c r="D53" s="23">
        <v>0</v>
      </c>
      <c r="E53" s="23">
        <v>0</v>
      </c>
      <c r="F53" s="23">
        <v>0</v>
      </c>
      <c r="G53" s="23">
        <v>67419531.587923199</v>
      </c>
      <c r="H53" s="51">
        <v>68767922.219681665</v>
      </c>
      <c r="I53" s="23">
        <v>136187453.80760485</v>
      </c>
      <c r="J53" s="63">
        <v>0.02</v>
      </c>
    </row>
    <row r="55" spans="2:10" x14ac:dyDescent="0.35">
      <c r="B55" s="48" t="s">
        <v>128</v>
      </c>
    </row>
    <row r="56" spans="2:10" x14ac:dyDescent="0.35">
      <c r="B56" s="64" t="s">
        <v>112</v>
      </c>
    </row>
    <row r="57" spans="2:10" x14ac:dyDescent="0.35">
      <c r="B57" t="s">
        <v>109</v>
      </c>
    </row>
    <row r="58" spans="2:10" x14ac:dyDescent="0.35">
      <c r="C58" t="s">
        <v>7</v>
      </c>
      <c r="D58" t="s">
        <v>0</v>
      </c>
      <c r="E58" t="s">
        <v>1</v>
      </c>
      <c r="F58" t="s">
        <v>2</v>
      </c>
      <c r="G58" t="s">
        <v>3</v>
      </c>
      <c r="H58" t="s">
        <v>4</v>
      </c>
      <c r="I58" t="s">
        <v>5</v>
      </c>
      <c r="J58" t="s">
        <v>21</v>
      </c>
    </row>
    <row r="59" spans="2:10" x14ac:dyDescent="0.35">
      <c r="B59" s="50" t="s">
        <v>126</v>
      </c>
      <c r="C59" s="23"/>
      <c r="D59" s="23"/>
      <c r="E59" s="23"/>
      <c r="F59" s="65">
        <v>1662.7875777675986</v>
      </c>
      <c r="G59" s="65">
        <v>1745.9269566559785</v>
      </c>
      <c r="H59" s="65">
        <v>1833.2233044887776</v>
      </c>
      <c r="I59" s="65"/>
      <c r="J59" s="63">
        <v>0.05</v>
      </c>
    </row>
    <row r="60" spans="2:10" x14ac:dyDescent="0.35">
      <c r="B60" s="50" t="s">
        <v>10</v>
      </c>
      <c r="C60" s="59"/>
      <c r="D60" s="59"/>
      <c r="E60" s="59"/>
      <c r="F60" s="66">
        <v>8616.0120445789707</v>
      </c>
      <c r="G60" s="66">
        <v>25848.03613373691</v>
      </c>
      <c r="H60" s="66">
        <v>43080.060222894856</v>
      </c>
      <c r="I60" s="66"/>
    </row>
    <row r="61" spans="2:10" x14ac:dyDescent="0.35">
      <c r="B61" s="50" t="s">
        <v>125</v>
      </c>
      <c r="C61" s="23"/>
      <c r="D61" s="23"/>
      <c r="E61" s="23"/>
      <c r="F61" s="65">
        <v>14326597.797621921</v>
      </c>
      <c r="G61" s="65">
        <v>45128783.062509052</v>
      </c>
      <c r="H61" s="65">
        <v>78975370.359390855</v>
      </c>
      <c r="I61" s="65"/>
    </row>
    <row r="62" spans="2:10" x14ac:dyDescent="0.35">
      <c r="B62" s="50" t="s">
        <v>124</v>
      </c>
      <c r="C62" s="23"/>
      <c r="D62" s="23"/>
      <c r="E62" s="23"/>
      <c r="F62" s="65">
        <v>7163298.8988109604</v>
      </c>
      <c r="G62" s="65">
        <v>22564391.531254526</v>
      </c>
      <c r="H62" s="65">
        <v>39487685.179695427</v>
      </c>
      <c r="I62" s="65"/>
    </row>
    <row r="63" spans="2:10" x14ac:dyDescent="0.35">
      <c r="B63" s="50" t="s">
        <v>132</v>
      </c>
      <c r="C63" s="23"/>
      <c r="D63" s="23"/>
      <c r="E63" s="23"/>
      <c r="F63" s="65">
        <v>2494.1813666513976</v>
      </c>
      <c r="G63" s="65">
        <v>2618.8904349839677</v>
      </c>
      <c r="H63" s="65">
        <v>2749.8349567331666</v>
      </c>
      <c r="I63" s="65"/>
    </row>
    <row r="64" spans="2:10" x14ac:dyDescent="0.35">
      <c r="B64" s="50" t="s">
        <v>111</v>
      </c>
      <c r="C64" s="23"/>
      <c r="D64" s="23"/>
      <c r="E64" s="23"/>
      <c r="F64" s="65">
        <v>17500000</v>
      </c>
      <c r="G64" s="65">
        <v>35000000</v>
      </c>
      <c r="H64" s="65">
        <v>17500000</v>
      </c>
      <c r="I64" s="65"/>
    </row>
    <row r="65" spans="2:17" x14ac:dyDescent="0.35">
      <c r="B65" s="50" t="s">
        <v>110</v>
      </c>
      <c r="C65" s="23"/>
      <c r="D65" s="23">
        <v>0</v>
      </c>
      <c r="E65" s="23">
        <v>0</v>
      </c>
      <c r="F65" s="65">
        <v>38989896.696432881</v>
      </c>
      <c r="G65" s="65">
        <v>102693174.59376357</v>
      </c>
      <c r="H65" s="65">
        <v>135963055.53908628</v>
      </c>
      <c r="I65" s="65">
        <v>277646126.82928276</v>
      </c>
    </row>
    <row r="66" spans="2:17" x14ac:dyDescent="0.35">
      <c r="B66" s="67" t="s">
        <v>127</v>
      </c>
      <c r="C66" s="68"/>
      <c r="D66" s="68"/>
      <c r="E66" s="68"/>
      <c r="F66" s="68"/>
      <c r="G66" s="68"/>
      <c r="H66" s="68"/>
      <c r="I66" s="68"/>
      <c r="K66" s="63"/>
    </row>
    <row r="67" spans="2:17" x14ac:dyDescent="0.35">
      <c r="C67" s="68"/>
      <c r="D67" s="68"/>
      <c r="E67" s="68"/>
      <c r="F67" s="68"/>
      <c r="G67" s="68"/>
      <c r="H67" s="68"/>
      <c r="I67" s="68"/>
      <c r="K67" s="63"/>
    </row>
    <row r="68" spans="2:17" x14ac:dyDescent="0.35">
      <c r="B68" s="48" t="s">
        <v>27</v>
      </c>
    </row>
    <row r="69" spans="2:17" x14ac:dyDescent="0.35">
      <c r="C69" t="s">
        <v>7</v>
      </c>
      <c r="D69" t="s">
        <v>0</v>
      </c>
      <c r="E69" t="s">
        <v>1</v>
      </c>
      <c r="F69" t="s">
        <v>2</v>
      </c>
      <c r="G69" t="s">
        <v>3</v>
      </c>
      <c r="H69" t="s">
        <v>4</v>
      </c>
      <c r="L69" t="s">
        <v>7</v>
      </c>
      <c r="M69" t="s">
        <v>0</v>
      </c>
      <c r="N69" t="s">
        <v>1</v>
      </c>
      <c r="O69" t="s">
        <v>2</v>
      </c>
      <c r="P69" t="s">
        <v>3</v>
      </c>
      <c r="Q69" t="s">
        <v>4</v>
      </c>
    </row>
    <row r="70" spans="2:17" x14ac:dyDescent="0.35">
      <c r="B70" s="48" t="s">
        <v>10</v>
      </c>
      <c r="K70" s="48"/>
      <c r="L70" s="48" t="s">
        <v>106</v>
      </c>
    </row>
    <row r="71" spans="2:17" x14ac:dyDescent="0.35">
      <c r="B71" s="50" t="s">
        <v>98</v>
      </c>
      <c r="C71" s="59">
        <v>0</v>
      </c>
      <c r="D71" s="59">
        <v>0</v>
      </c>
      <c r="E71" s="59">
        <v>0</v>
      </c>
      <c r="F71" s="59">
        <v>188451.09426614575</v>
      </c>
      <c r="G71" s="59">
        <v>347909.712491346</v>
      </c>
      <c r="H71" s="59">
        <v>347909.712491346</v>
      </c>
      <c r="L71" s="59">
        <v>0</v>
      </c>
      <c r="M71" s="59">
        <v>0</v>
      </c>
      <c r="N71" s="59">
        <v>0</v>
      </c>
      <c r="O71" s="59">
        <v>137714.26119449112</v>
      </c>
      <c r="P71" s="59">
        <v>173765.29809752278</v>
      </c>
      <c r="Q71" s="59">
        <v>173808.1015503309</v>
      </c>
    </row>
    <row r="72" spans="2:17" x14ac:dyDescent="0.35">
      <c r="B72" s="50" t="s">
        <v>68</v>
      </c>
      <c r="C72" s="59">
        <v>0</v>
      </c>
      <c r="D72" s="59">
        <v>0</v>
      </c>
      <c r="E72" s="59">
        <v>0</v>
      </c>
      <c r="F72" s="59">
        <v>79532.051182557159</v>
      </c>
      <c r="G72" s="59">
        <v>146828.40218318245</v>
      </c>
      <c r="H72" s="59">
        <v>146828.40218318245</v>
      </c>
      <c r="L72" s="59">
        <v>0</v>
      </c>
      <c r="M72" s="59">
        <v>0</v>
      </c>
      <c r="N72" s="59">
        <v>0</v>
      </c>
      <c r="O72" s="59">
        <v>58119.575864176382</v>
      </c>
      <c r="P72" s="59">
        <v>73414.201091591225</v>
      </c>
      <c r="Q72" s="59">
        <v>73414.201091591225</v>
      </c>
    </row>
    <row r="73" spans="2:17" x14ac:dyDescent="0.35">
      <c r="B73" s="50" t="s">
        <v>100</v>
      </c>
      <c r="C73" s="59">
        <v>0</v>
      </c>
      <c r="D73" s="59">
        <v>0</v>
      </c>
      <c r="E73" s="59">
        <v>0</v>
      </c>
      <c r="F73" s="59">
        <v>4293.7438833422648</v>
      </c>
      <c r="G73" s="59">
        <v>7926.9117846318732</v>
      </c>
      <c r="H73" s="59">
        <v>7926.9117846318732</v>
      </c>
      <c r="L73" s="59">
        <v>0</v>
      </c>
      <c r="M73" s="59">
        <v>0</v>
      </c>
      <c r="N73" s="59">
        <v>0</v>
      </c>
      <c r="O73" s="59">
        <v>3137.7359147501165</v>
      </c>
      <c r="P73" s="59">
        <v>3963.4558923159366</v>
      </c>
      <c r="Q73" s="59">
        <v>3963.4558923159366</v>
      </c>
    </row>
    <row r="74" spans="2:17" x14ac:dyDescent="0.35">
      <c r="B74" s="50" t="s">
        <v>101</v>
      </c>
      <c r="C74" s="59">
        <v>0</v>
      </c>
      <c r="D74" s="59">
        <v>0</v>
      </c>
      <c r="E74" s="59">
        <v>0</v>
      </c>
      <c r="F74" s="59">
        <v>7416.2188283788601</v>
      </c>
      <c r="G74" s="59">
        <v>13691.480913930203</v>
      </c>
      <c r="H74" s="59">
        <v>13691.480913930203</v>
      </c>
      <c r="L74" s="59">
        <v>0</v>
      </c>
      <c r="M74" s="59">
        <v>0</v>
      </c>
      <c r="N74" s="59">
        <v>0</v>
      </c>
      <c r="O74" s="59">
        <v>5419.5445284307052</v>
      </c>
      <c r="P74" s="59">
        <v>6845.7404569651017</v>
      </c>
      <c r="Q74" s="59">
        <v>6845.7404569651017</v>
      </c>
    </row>
    <row r="75" spans="2:17" x14ac:dyDescent="0.35">
      <c r="B75" s="50" t="s">
        <v>102</v>
      </c>
      <c r="C75" s="59">
        <v>0</v>
      </c>
      <c r="D75" s="59">
        <v>0</v>
      </c>
      <c r="E75" s="59">
        <v>0</v>
      </c>
      <c r="F75" s="59">
        <v>489.04486381124349</v>
      </c>
      <c r="G75" s="59">
        <v>902.85205626691106</v>
      </c>
      <c r="H75" s="59">
        <v>902.85205626691106</v>
      </c>
      <c r="L75" s="59">
        <v>0</v>
      </c>
      <c r="M75" s="59">
        <v>0</v>
      </c>
      <c r="N75" s="59">
        <v>0</v>
      </c>
      <c r="O75" s="59">
        <v>357.37893893898558</v>
      </c>
      <c r="P75" s="59">
        <v>451.42602813345553</v>
      </c>
      <c r="Q75" s="59">
        <v>451.42602813345553</v>
      </c>
    </row>
    <row r="76" spans="2:17" x14ac:dyDescent="0.35">
      <c r="B76" s="50" t="s">
        <v>105</v>
      </c>
      <c r="C76" s="59">
        <v>0</v>
      </c>
      <c r="D76" s="59">
        <v>0</v>
      </c>
      <c r="E76" s="59">
        <v>0</v>
      </c>
      <c r="F76" s="59">
        <v>317.84262408137369</v>
      </c>
      <c r="G76" s="59">
        <v>586.78638291945913</v>
      </c>
      <c r="H76" s="59">
        <v>586.78638291945913</v>
      </c>
      <c r="L76" s="59">
        <v>0</v>
      </c>
      <c r="M76" s="59">
        <v>0</v>
      </c>
      <c r="N76" s="59">
        <v>0</v>
      </c>
      <c r="O76" s="59">
        <v>232.26960990561923</v>
      </c>
      <c r="P76" s="59">
        <v>293.39319145972956</v>
      </c>
      <c r="Q76" s="59">
        <v>293.39319145972956</v>
      </c>
    </row>
    <row r="77" spans="2:17" x14ac:dyDescent="0.35">
      <c r="B77" s="50" t="s">
        <v>32</v>
      </c>
      <c r="C77" s="59">
        <v>0</v>
      </c>
      <c r="D77" s="59">
        <v>0</v>
      </c>
      <c r="E77" s="59">
        <v>0</v>
      </c>
      <c r="F77" s="59">
        <v>2275.7855315032912</v>
      </c>
      <c r="G77" s="59">
        <v>4201.4502120060761</v>
      </c>
      <c r="H77" s="59">
        <v>4201.4502120060761</v>
      </c>
      <c r="L77" s="59">
        <v>0</v>
      </c>
      <c r="M77" s="59">
        <v>0</v>
      </c>
      <c r="N77" s="59">
        <v>0</v>
      </c>
      <c r="O77" s="59">
        <v>1663.074042252405</v>
      </c>
      <c r="P77" s="59">
        <v>1905.5577830943248</v>
      </c>
      <c r="Q77" s="59">
        <v>1949.627823751131</v>
      </c>
    </row>
    <row r="78" spans="2:17" x14ac:dyDescent="0.35">
      <c r="B78" s="50" t="s">
        <v>26</v>
      </c>
      <c r="C78" s="59">
        <v>0</v>
      </c>
      <c r="D78" s="59">
        <v>0</v>
      </c>
      <c r="E78" s="59">
        <v>0</v>
      </c>
      <c r="F78" s="59">
        <v>171147.30275574166</v>
      </c>
      <c r="G78" s="59">
        <v>315964.25124136923</v>
      </c>
      <c r="H78" s="59">
        <v>315964.25124136923</v>
      </c>
      <c r="L78" s="59">
        <v>0</v>
      </c>
      <c r="M78" s="59">
        <v>0</v>
      </c>
      <c r="N78" s="59">
        <v>0</v>
      </c>
      <c r="O78" s="59">
        <v>125069.18278304199</v>
      </c>
      <c r="P78" s="59">
        <v>157982.12562068462</v>
      </c>
      <c r="Q78" s="59">
        <v>157982.12562068462</v>
      </c>
    </row>
    <row r="79" spans="2:17" x14ac:dyDescent="0.35">
      <c r="B79" s="50" t="s">
        <v>104</v>
      </c>
      <c r="C79" s="59">
        <v>0</v>
      </c>
      <c r="D79" s="59">
        <v>0</v>
      </c>
      <c r="E79" s="59">
        <v>0</v>
      </c>
      <c r="F79" s="59">
        <v>67618.141435360099</v>
      </c>
      <c r="G79" s="59">
        <v>124833.49188066478</v>
      </c>
      <c r="H79" s="59">
        <v>124833.49188066478</v>
      </c>
      <c r="L79" s="59">
        <v>0</v>
      </c>
      <c r="M79" s="59">
        <v>0</v>
      </c>
      <c r="N79" s="59">
        <v>0</v>
      </c>
      <c r="O79" s="59">
        <v>49413.257202763154</v>
      </c>
      <c r="P79" s="59">
        <v>57601.221411391321</v>
      </c>
      <c r="Q79" s="59">
        <v>58688.597917926396</v>
      </c>
    </row>
    <row r="81" spans="2:17" x14ac:dyDescent="0.35">
      <c r="B81" s="48" t="s">
        <v>14</v>
      </c>
      <c r="L81" s="48" t="s">
        <v>107</v>
      </c>
    </row>
    <row r="82" spans="2:17" x14ac:dyDescent="0.35">
      <c r="B82" s="50" t="s">
        <v>98</v>
      </c>
      <c r="C82" s="59">
        <v>0</v>
      </c>
      <c r="D82" s="59">
        <v>0</v>
      </c>
      <c r="E82" s="59">
        <v>0</v>
      </c>
      <c r="F82" s="59">
        <v>115481084.46772815</v>
      </c>
      <c r="G82" s="59">
        <v>223855640.66051918</v>
      </c>
      <c r="H82" s="59">
        <v>235048422.69354516</v>
      </c>
      <c r="L82" s="59">
        <v>0</v>
      </c>
      <c r="M82" s="59">
        <v>0</v>
      </c>
      <c r="N82" s="59">
        <v>0</v>
      </c>
      <c r="O82" s="59">
        <v>84390023.264878273</v>
      </c>
      <c r="P82" s="59">
        <v>111826132.57256961</v>
      </c>
      <c r="Q82" s="59">
        <v>117441549.04052137</v>
      </c>
    </row>
    <row r="83" spans="2:17" x14ac:dyDescent="0.35">
      <c r="B83" s="50" t="s">
        <v>68</v>
      </c>
      <c r="C83" s="59">
        <v>0</v>
      </c>
      <c r="D83" s="59">
        <v>0</v>
      </c>
      <c r="E83" s="59">
        <v>0</v>
      </c>
      <c r="F83" s="59">
        <v>48832679.426090099</v>
      </c>
      <c r="G83" s="59">
        <v>94660270.887497738</v>
      </c>
      <c r="H83" s="59">
        <v>99393284.431872636</v>
      </c>
      <c r="L83" s="59">
        <v>0</v>
      </c>
      <c r="M83" s="59">
        <v>0</v>
      </c>
      <c r="N83" s="59">
        <v>0</v>
      </c>
      <c r="O83" s="59">
        <v>35685419.5806043</v>
      </c>
      <c r="P83" s="59">
        <v>47330135.443748876</v>
      </c>
      <c r="Q83" s="59">
        <v>49696642.215936333</v>
      </c>
    </row>
    <row r="84" spans="2:17" x14ac:dyDescent="0.35">
      <c r="B84" s="50" t="s">
        <v>100</v>
      </c>
      <c r="C84" s="59">
        <v>0</v>
      </c>
      <c r="D84" s="59">
        <v>0</v>
      </c>
      <c r="E84" s="59">
        <v>0</v>
      </c>
      <c r="F84" s="59">
        <v>2636358.7443721504</v>
      </c>
      <c r="G84" s="59">
        <v>5110480.0275521688</v>
      </c>
      <c r="H84" s="59">
        <v>5366004.0289297774</v>
      </c>
      <c r="L84" s="59">
        <v>0</v>
      </c>
      <c r="M84" s="59">
        <v>0</v>
      </c>
      <c r="N84" s="59">
        <v>0</v>
      </c>
      <c r="O84" s="59">
        <v>1926569.8516565715</v>
      </c>
      <c r="P84" s="59">
        <v>2555240.0137760844</v>
      </c>
      <c r="Q84" s="59">
        <v>2683002.0144648887</v>
      </c>
    </row>
    <row r="85" spans="2:17" x14ac:dyDescent="0.35">
      <c r="B85" s="50" t="s">
        <v>101</v>
      </c>
      <c r="C85" s="59">
        <v>0</v>
      </c>
      <c r="D85" s="59">
        <v>0</v>
      </c>
      <c r="E85" s="59">
        <v>0</v>
      </c>
      <c r="F85" s="59">
        <v>4553558.3606246198</v>
      </c>
      <c r="G85" s="59">
        <v>8826897.7452108022</v>
      </c>
      <c r="H85" s="59">
        <v>9268242.6324713435</v>
      </c>
      <c r="L85" s="59">
        <v>0</v>
      </c>
      <c r="M85" s="59">
        <v>0</v>
      </c>
      <c r="N85" s="59">
        <v>0</v>
      </c>
      <c r="O85" s="59">
        <v>3327600.3404564532</v>
      </c>
      <c r="P85" s="59">
        <v>4413448.8726054011</v>
      </c>
      <c r="Q85" s="59">
        <v>4634121.3162356727</v>
      </c>
    </row>
    <row r="86" spans="2:17" x14ac:dyDescent="0.35">
      <c r="B86" s="50" t="s">
        <v>102</v>
      </c>
      <c r="C86" s="59">
        <v>0</v>
      </c>
      <c r="D86" s="59">
        <v>0</v>
      </c>
      <c r="E86" s="59">
        <v>0</v>
      </c>
      <c r="F86" s="59">
        <v>300273.54638010351</v>
      </c>
      <c r="G86" s="59">
        <v>582068.72067527764</v>
      </c>
      <c r="H86" s="59">
        <v>611172.15670904156</v>
      </c>
      <c r="L86" s="59">
        <v>0</v>
      </c>
      <c r="M86" s="59">
        <v>0</v>
      </c>
      <c r="N86" s="59">
        <v>0</v>
      </c>
      <c r="O86" s="59">
        <v>219430.66850853717</v>
      </c>
      <c r="P86" s="59">
        <v>291034.36033763888</v>
      </c>
      <c r="Q86" s="59">
        <v>305586.07835452084</v>
      </c>
    </row>
    <row r="87" spans="2:17" x14ac:dyDescent="0.35">
      <c r="B87" s="50" t="s">
        <v>105</v>
      </c>
      <c r="C87" s="59">
        <v>0</v>
      </c>
      <c r="D87" s="59">
        <v>0</v>
      </c>
      <c r="E87" s="59">
        <v>0</v>
      </c>
      <c r="F87" s="59">
        <v>195155.37118596345</v>
      </c>
      <c r="G87" s="59">
        <v>378301.18106817536</v>
      </c>
      <c r="H87" s="59">
        <v>397216.24012158415</v>
      </c>
      <c r="L87" s="59">
        <v>0</v>
      </c>
      <c r="M87" s="59">
        <v>0</v>
      </c>
      <c r="N87" s="59">
        <v>0</v>
      </c>
      <c r="O87" s="59">
        <v>142613.54048205022</v>
      </c>
      <c r="P87" s="59">
        <v>189150.59053408768</v>
      </c>
      <c r="Q87" s="59">
        <v>198608.12006079211</v>
      </c>
    </row>
    <row r="88" spans="2:17" x14ac:dyDescent="0.35">
      <c r="B88" s="50" t="s">
        <v>32</v>
      </c>
      <c r="C88" s="59">
        <v>0</v>
      </c>
      <c r="D88" s="59">
        <v>0</v>
      </c>
      <c r="E88" s="59">
        <v>0</v>
      </c>
      <c r="F88" s="59">
        <v>1313244.7981971824</v>
      </c>
      <c r="G88" s="59">
        <v>2545674.5318899225</v>
      </c>
      <c r="H88" s="59">
        <v>2672958.2584844185</v>
      </c>
      <c r="L88" s="59">
        <v>0</v>
      </c>
      <c r="M88" s="59">
        <v>0</v>
      </c>
      <c r="N88" s="59">
        <v>0</v>
      </c>
      <c r="O88" s="59">
        <v>656622.39909859118</v>
      </c>
      <c r="P88" s="59">
        <v>1154584.6487971728</v>
      </c>
      <c r="Q88" s="59">
        <v>1240351.1953027167</v>
      </c>
    </row>
    <row r="89" spans="2:17" x14ac:dyDescent="0.35">
      <c r="B89" s="50" t="s">
        <v>26</v>
      </c>
      <c r="C89" s="59">
        <v>0</v>
      </c>
      <c r="D89" s="59">
        <v>0</v>
      </c>
      <c r="E89" s="59">
        <v>0</v>
      </c>
      <c r="F89" s="59">
        <v>105084443.89202538</v>
      </c>
      <c r="G89" s="59">
        <v>203702152.77531075</v>
      </c>
      <c r="H89" s="59">
        <v>213887260.4140763</v>
      </c>
      <c r="L89" s="59">
        <v>0</v>
      </c>
      <c r="M89" s="59">
        <v>0</v>
      </c>
      <c r="N89" s="59">
        <v>0</v>
      </c>
      <c r="O89" s="59">
        <v>76792478.22878778</v>
      </c>
      <c r="P89" s="59">
        <v>101851076.38765538</v>
      </c>
      <c r="Q89" s="59">
        <v>106943630.20703815</v>
      </c>
    </row>
    <row r="90" spans="2:17" x14ac:dyDescent="0.35">
      <c r="B90" s="50" t="s">
        <v>104</v>
      </c>
      <c r="C90" s="59">
        <v>0</v>
      </c>
      <c r="D90" s="59">
        <v>0</v>
      </c>
      <c r="E90" s="59">
        <v>0</v>
      </c>
      <c r="F90" s="59">
        <v>65269976.876921989</v>
      </c>
      <c r="G90" s="59">
        <v>126523339.79218724</v>
      </c>
      <c r="H90" s="59">
        <v>132849506.7817966</v>
      </c>
      <c r="L90" s="59">
        <v>0</v>
      </c>
      <c r="M90" s="59">
        <v>0</v>
      </c>
      <c r="N90" s="59">
        <v>0</v>
      </c>
      <c r="O90" s="59">
        <v>34259604.901095748</v>
      </c>
      <c r="P90" s="59">
        <v>58018286.012756139</v>
      </c>
      <c r="Q90" s="59">
        <v>62162389.71799171</v>
      </c>
    </row>
    <row r="91" spans="2:17" x14ac:dyDescent="0.35">
      <c r="B91" s="69" t="s">
        <v>5</v>
      </c>
      <c r="F91" s="70">
        <v>343666775.48352563</v>
      </c>
      <c r="G91" s="70">
        <v>666184826.32191133</v>
      </c>
      <c r="H91" s="70">
        <v>699494067.63800681</v>
      </c>
      <c r="O91" s="70">
        <v>237400362.77556831</v>
      </c>
      <c r="P91" s="70">
        <v>327629088.90278041</v>
      </c>
      <c r="Q91" s="70">
        <v>345305879.90590614</v>
      </c>
    </row>
    <row r="93" spans="2:17" x14ac:dyDescent="0.35">
      <c r="B93" s="48" t="s">
        <v>113</v>
      </c>
    </row>
    <row r="94" spans="2:17" ht="17" x14ac:dyDescent="0.4">
      <c r="B94" s="71"/>
    </row>
    <row r="95" spans="2:17" x14ac:dyDescent="0.35">
      <c r="B95" s="48" t="s">
        <v>10</v>
      </c>
      <c r="C95" t="s">
        <v>7</v>
      </c>
      <c r="D95" t="s">
        <v>0</v>
      </c>
      <c r="E95" t="s">
        <v>1</v>
      </c>
      <c r="F95" t="s">
        <v>2</v>
      </c>
      <c r="G95" t="s">
        <v>3</v>
      </c>
      <c r="H95" t="s">
        <v>4</v>
      </c>
      <c r="L95" s="48" t="s">
        <v>106</v>
      </c>
      <c r="N95" t="s">
        <v>1</v>
      </c>
      <c r="O95" t="s">
        <v>2</v>
      </c>
      <c r="P95" t="s">
        <v>3</v>
      </c>
      <c r="Q95" t="s">
        <v>4</v>
      </c>
    </row>
    <row r="96" spans="2:17" x14ac:dyDescent="0.35">
      <c r="B96" s="50" t="s">
        <v>114</v>
      </c>
      <c r="C96" s="59"/>
      <c r="D96" s="59"/>
      <c r="E96" s="59">
        <v>148.3950235314756</v>
      </c>
      <c r="F96" s="59">
        <v>308.60041002639952</v>
      </c>
      <c r="G96" s="59">
        <v>175.952537112855</v>
      </c>
      <c r="H96" s="59">
        <v>31.494301235862178</v>
      </c>
      <c r="L96" s="59"/>
      <c r="M96" s="59"/>
      <c r="N96" s="59">
        <v>148.3950235314756</v>
      </c>
      <c r="O96" s="59">
        <v>7.8735753089655445</v>
      </c>
      <c r="P96" s="59">
        <v>7.8735753089655445</v>
      </c>
      <c r="Q96" s="59">
        <v>7.8735753089655445</v>
      </c>
    </row>
    <row r="97" spans="2:17" x14ac:dyDescent="0.35">
      <c r="B97" s="50" t="s">
        <v>32</v>
      </c>
      <c r="C97" s="59"/>
      <c r="D97" s="59"/>
      <c r="E97" s="59">
        <v>152.78614904309802</v>
      </c>
      <c r="F97" s="59">
        <v>317.73213898277271</v>
      </c>
      <c r="G97" s="59">
        <v>181.15911113511032</v>
      </c>
      <c r="H97" s="59">
        <v>32.426242390871209</v>
      </c>
      <c r="L97" s="59"/>
      <c r="M97" s="59"/>
      <c r="N97" s="59">
        <v>152.78614904309802</v>
      </c>
      <c r="O97" s="59">
        <v>8.1065605977178024</v>
      </c>
      <c r="P97" s="59">
        <v>8.1065605977178024</v>
      </c>
      <c r="Q97" s="59">
        <v>8.1065605977178024</v>
      </c>
    </row>
    <row r="98" spans="2:17" x14ac:dyDescent="0.35">
      <c r="B98" s="50" t="s">
        <v>115</v>
      </c>
      <c r="C98" s="59"/>
      <c r="D98" s="59"/>
      <c r="E98" s="59">
        <v>3769.8188274254262</v>
      </c>
      <c r="F98" s="59">
        <v>7839.667450990828</v>
      </c>
      <c r="G98" s="59">
        <v>4469.8883517520344</v>
      </c>
      <c r="H98" s="59">
        <v>800.07945637326668</v>
      </c>
      <c r="L98" s="59"/>
      <c r="M98" s="59"/>
      <c r="N98" s="59">
        <v>3769.8188274254262</v>
      </c>
      <c r="O98" s="59">
        <v>200.01986409331667</v>
      </c>
      <c r="P98" s="59">
        <v>200.01986409331667</v>
      </c>
      <c r="Q98" s="59">
        <v>200.01986409331667</v>
      </c>
    </row>
    <row r="101" spans="2:17" x14ac:dyDescent="0.35">
      <c r="B101" s="48" t="s">
        <v>14</v>
      </c>
      <c r="L101" s="48" t="s">
        <v>107</v>
      </c>
    </row>
    <row r="102" spans="2:17" x14ac:dyDescent="0.35">
      <c r="B102" s="50" t="s">
        <v>114</v>
      </c>
      <c r="C102" s="59"/>
      <c r="D102" s="59"/>
      <c r="E102" s="59">
        <v>72342.742511020988</v>
      </c>
      <c r="F102" s="59">
        <v>157664.31679858075</v>
      </c>
      <c r="G102" s="59">
        <v>94209.28995177336</v>
      </c>
      <c r="H102" s="59">
        <v>17672.234139468019</v>
      </c>
      <c r="L102" s="59"/>
      <c r="M102" s="59"/>
      <c r="N102" s="59">
        <v>72342.742511020988</v>
      </c>
      <c r="O102" s="59">
        <v>4022.6189969871775</v>
      </c>
      <c r="P102" s="59">
        <v>4215.7047088425625</v>
      </c>
      <c r="Q102" s="59">
        <v>4418.0585348670047</v>
      </c>
    </row>
    <row r="103" spans="2:17" x14ac:dyDescent="0.35">
      <c r="B103" s="50" t="s">
        <v>32</v>
      </c>
      <c r="C103" s="59"/>
      <c r="D103" s="59"/>
      <c r="E103" s="59">
        <v>84127.109386110635</v>
      </c>
      <c r="F103" s="59">
        <v>183347.25454429563</v>
      </c>
      <c r="G103" s="59">
        <v>109555.63703924052</v>
      </c>
      <c r="H103" s="59">
        <v>20550.976130349121</v>
      </c>
      <c r="L103" s="59"/>
      <c r="M103" s="59"/>
      <c r="N103" s="59">
        <v>84127.109386110635</v>
      </c>
      <c r="O103" s="59">
        <v>4677.8888473385141</v>
      </c>
      <c r="P103" s="59">
        <v>4902.4275120107632</v>
      </c>
      <c r="Q103" s="59">
        <v>5137.7440325872803</v>
      </c>
    </row>
    <row r="104" spans="2:17" x14ac:dyDescent="0.35">
      <c r="B104" s="50" t="s">
        <v>115</v>
      </c>
      <c r="C104" s="59"/>
      <c r="D104" s="59"/>
      <c r="E104" s="59">
        <v>3723144.880038254</v>
      </c>
      <c r="F104" s="59">
        <v>8114249.9368742928</v>
      </c>
      <c r="G104" s="59">
        <v>4848514.4931096435</v>
      </c>
      <c r="H104" s="59">
        <v>909507.79264656629</v>
      </c>
      <c r="L104" s="59"/>
      <c r="M104" s="59"/>
      <c r="N104" s="59">
        <v>3723144.880038254</v>
      </c>
      <c r="O104" s="59">
        <v>207025.5122094079</v>
      </c>
      <c r="P104" s="59">
        <v>216962.73679545952</v>
      </c>
      <c r="Q104" s="59">
        <v>227376.94816164157</v>
      </c>
    </row>
    <row r="105" spans="2:17" x14ac:dyDescent="0.35">
      <c r="B105" t="s">
        <v>5</v>
      </c>
      <c r="E105" s="70">
        <v>3879614.7319353856</v>
      </c>
      <c r="F105" s="70">
        <v>8455261.508217169</v>
      </c>
      <c r="G105" s="70">
        <v>5052279.4201006573</v>
      </c>
      <c r="H105" s="70">
        <v>947731.00291638344</v>
      </c>
      <c r="N105" s="70">
        <v>3879614.7319353856</v>
      </c>
      <c r="O105" s="70">
        <v>215726.02005373358</v>
      </c>
      <c r="P105" s="70">
        <v>226080.86901631285</v>
      </c>
      <c r="Q105" s="70">
        <v>236932.75072909586</v>
      </c>
    </row>
    <row r="108" spans="2:17" x14ac:dyDescent="0.35">
      <c r="B108" s="48" t="s">
        <v>99</v>
      </c>
    </row>
    <row r="109" spans="2:17" x14ac:dyDescent="0.35">
      <c r="C109" t="s">
        <v>7</v>
      </c>
      <c r="D109" t="s">
        <v>0</v>
      </c>
      <c r="E109" t="s">
        <v>1</v>
      </c>
      <c r="F109" t="s">
        <v>2</v>
      </c>
      <c r="G109" t="s">
        <v>3</v>
      </c>
      <c r="H109" t="s">
        <v>4</v>
      </c>
      <c r="I109" t="s">
        <v>5</v>
      </c>
    </row>
    <row r="110" spans="2:17" x14ac:dyDescent="0.35">
      <c r="B110" s="48" t="s">
        <v>10</v>
      </c>
    </row>
    <row r="111" spans="2:17" x14ac:dyDescent="0.35">
      <c r="B111" s="50" t="s">
        <v>98</v>
      </c>
      <c r="C111" s="59">
        <v>0</v>
      </c>
      <c r="D111" s="59">
        <v>0</v>
      </c>
      <c r="E111" s="59">
        <v>0</v>
      </c>
      <c r="F111" s="59">
        <v>100288.99088799162</v>
      </c>
      <c r="G111" s="59">
        <v>100288.99088799162</v>
      </c>
      <c r="H111" s="59">
        <v>100288.99088799162</v>
      </c>
    </row>
    <row r="112" spans="2:17" x14ac:dyDescent="0.35">
      <c r="B112" s="50" t="s">
        <v>68</v>
      </c>
      <c r="C112" s="59">
        <v>0</v>
      </c>
      <c r="D112" s="59">
        <v>0</v>
      </c>
      <c r="E112" s="59">
        <v>0</v>
      </c>
      <c r="F112" s="59">
        <v>44597.954601604062</v>
      </c>
      <c r="G112" s="59">
        <v>44597.954601604062</v>
      </c>
      <c r="H112" s="59">
        <v>44597.954601604062</v>
      </c>
    </row>
    <row r="113" spans="2:9" x14ac:dyDescent="0.35">
      <c r="B113" s="50" t="s">
        <v>100</v>
      </c>
      <c r="C113" s="59">
        <v>0</v>
      </c>
      <c r="D113" s="59">
        <v>0</v>
      </c>
      <c r="E113" s="59">
        <v>0</v>
      </c>
      <c r="F113" s="59">
        <v>2032.9242418330257</v>
      </c>
      <c r="G113" s="59">
        <v>2032.9242418330257</v>
      </c>
      <c r="H113" s="59">
        <v>2032.9242418330257</v>
      </c>
    </row>
    <row r="114" spans="2:9" x14ac:dyDescent="0.35">
      <c r="B114" s="50" t="s">
        <v>101</v>
      </c>
      <c r="C114" s="59">
        <v>0</v>
      </c>
      <c r="D114" s="59">
        <v>0</v>
      </c>
      <c r="E114" s="59">
        <v>0</v>
      </c>
      <c r="F114" s="59">
        <v>4128.4959893719551</v>
      </c>
      <c r="G114" s="59">
        <v>4128.4959893719551</v>
      </c>
      <c r="H114" s="59">
        <v>4128.4959893719551</v>
      </c>
    </row>
    <row r="115" spans="2:9" x14ac:dyDescent="0.35">
      <c r="B115" s="50" t="s">
        <v>102</v>
      </c>
      <c r="C115" s="59">
        <v>0</v>
      </c>
      <c r="D115" s="59">
        <v>0</v>
      </c>
      <c r="E115" s="59">
        <v>0</v>
      </c>
      <c r="F115" s="59">
        <v>266.78107122448978</v>
      </c>
      <c r="G115" s="59">
        <v>266.78107122448978</v>
      </c>
      <c r="H115" s="59">
        <v>266.78107122448978</v>
      </c>
    </row>
    <row r="116" spans="2:9" x14ac:dyDescent="0.35">
      <c r="B116" s="50" t="s">
        <v>105</v>
      </c>
      <c r="C116" s="59">
        <v>0</v>
      </c>
      <c r="D116" s="59">
        <v>0</v>
      </c>
      <c r="E116" s="59">
        <v>0</v>
      </c>
      <c r="F116" s="59">
        <v>174.6198344537473</v>
      </c>
      <c r="G116" s="59">
        <v>174.6198344537473</v>
      </c>
      <c r="H116" s="59">
        <v>174.6198344537473</v>
      </c>
    </row>
    <row r="117" spans="2:9" x14ac:dyDescent="0.35">
      <c r="B117" s="50" t="s">
        <v>103</v>
      </c>
      <c r="C117" s="59">
        <v>0</v>
      </c>
      <c r="D117" s="59">
        <v>0</v>
      </c>
      <c r="E117" s="59">
        <v>0</v>
      </c>
      <c r="F117" s="59">
        <v>5930.0418026971702</v>
      </c>
      <c r="G117" s="59">
        <v>5930.0418026971702</v>
      </c>
      <c r="H117" s="59">
        <v>5930.0418026971702</v>
      </c>
    </row>
    <row r="118" spans="2:9" x14ac:dyDescent="0.35">
      <c r="B118" s="50" t="s">
        <v>26</v>
      </c>
      <c r="C118" s="59">
        <v>0</v>
      </c>
      <c r="D118" s="59">
        <v>0</v>
      </c>
      <c r="E118" s="59">
        <v>0</v>
      </c>
      <c r="F118" s="59">
        <v>89494.191570823925</v>
      </c>
      <c r="G118" s="59">
        <v>89494.191570823925</v>
      </c>
      <c r="H118" s="59">
        <v>89494.191570823925</v>
      </c>
    </row>
    <row r="120" spans="2:9" x14ac:dyDescent="0.35">
      <c r="B120" s="48" t="s">
        <v>14</v>
      </c>
    </row>
    <row r="121" spans="2:9" x14ac:dyDescent="0.35">
      <c r="B121" s="50" t="s">
        <v>98</v>
      </c>
      <c r="C121" s="23">
        <v>0</v>
      </c>
      <c r="D121" s="23">
        <v>0</v>
      </c>
      <c r="E121" s="23">
        <v>0</v>
      </c>
      <c r="F121" s="23">
        <v>8123408.2619273216</v>
      </c>
      <c r="G121" s="23">
        <v>8529578.675023688</v>
      </c>
      <c r="H121" s="23">
        <v>8956057.6087748725</v>
      </c>
      <c r="I121" s="62">
        <v>25609044.545725882</v>
      </c>
    </row>
    <row r="122" spans="2:9" x14ac:dyDescent="0.35">
      <c r="B122" s="50" t="s">
        <v>68</v>
      </c>
      <c r="C122" s="23">
        <v>0</v>
      </c>
      <c r="D122" s="23">
        <v>0</v>
      </c>
      <c r="E122" s="23">
        <v>0</v>
      </c>
      <c r="F122" s="23">
        <v>3612434.3227299289</v>
      </c>
      <c r="G122" s="23">
        <v>3793056.0388664254</v>
      </c>
      <c r="H122" s="23">
        <v>3982708.8408097466</v>
      </c>
      <c r="I122" s="62">
        <v>11388199.202406101</v>
      </c>
    </row>
    <row r="123" spans="2:9" x14ac:dyDescent="0.35">
      <c r="B123" s="50" t="s">
        <v>100</v>
      </c>
      <c r="C123" s="23">
        <v>0</v>
      </c>
      <c r="D123" s="23">
        <v>0</v>
      </c>
      <c r="E123" s="23">
        <v>0</v>
      </c>
      <c r="F123" s="23">
        <v>164666.86358847507</v>
      </c>
      <c r="G123" s="23">
        <v>172900.20676789884</v>
      </c>
      <c r="H123" s="23">
        <v>181545.2171062938</v>
      </c>
      <c r="I123" s="62">
        <v>519112.28746266768</v>
      </c>
    </row>
    <row r="124" spans="2:9" x14ac:dyDescent="0.35">
      <c r="B124" s="50" t="s">
        <v>101</v>
      </c>
      <c r="C124" s="23">
        <v>0</v>
      </c>
      <c r="D124" s="23">
        <v>0</v>
      </c>
      <c r="E124" s="23">
        <v>0</v>
      </c>
      <c r="F124" s="23">
        <v>334408.17513912835</v>
      </c>
      <c r="G124" s="23">
        <v>351128.58389608481</v>
      </c>
      <c r="H124" s="23">
        <v>368685.01309088909</v>
      </c>
      <c r="I124" s="62">
        <v>1054221.7721261024</v>
      </c>
    </row>
    <row r="125" spans="2:9" x14ac:dyDescent="0.35">
      <c r="B125" s="50" t="s">
        <v>102</v>
      </c>
      <c r="C125" s="23">
        <v>0</v>
      </c>
      <c r="D125" s="23">
        <v>0</v>
      </c>
      <c r="E125" s="23">
        <v>0</v>
      </c>
      <c r="F125" s="23">
        <v>21609.266769183672</v>
      </c>
      <c r="G125" s="23">
        <v>22689.730107642856</v>
      </c>
      <c r="H125" s="23">
        <v>23824.216613025001</v>
      </c>
      <c r="I125" s="62">
        <v>68123.213489851521</v>
      </c>
    </row>
    <row r="126" spans="2:9" x14ac:dyDescent="0.35">
      <c r="B126" s="50" t="s">
        <v>105</v>
      </c>
      <c r="C126" s="23">
        <v>0</v>
      </c>
      <c r="D126" s="23">
        <v>0</v>
      </c>
      <c r="E126" s="23">
        <v>0</v>
      </c>
      <c r="F126" s="23">
        <v>14144.206590753531</v>
      </c>
      <c r="G126" s="23">
        <v>14851.416920291207</v>
      </c>
      <c r="H126" s="23">
        <v>15593.987766305769</v>
      </c>
      <c r="I126" s="62">
        <v>44589.611277350508</v>
      </c>
    </row>
    <row r="127" spans="2:9" x14ac:dyDescent="0.35">
      <c r="B127" s="50" t="s">
        <v>103</v>
      </c>
      <c r="C127" s="23">
        <v>0</v>
      </c>
      <c r="D127" s="23">
        <v>0</v>
      </c>
      <c r="E127" s="23">
        <v>0</v>
      </c>
      <c r="F127" s="23">
        <v>480333.3860184708</v>
      </c>
      <c r="G127" s="23">
        <v>504350.05531939439</v>
      </c>
      <c r="H127" s="23">
        <v>529567.55808536417</v>
      </c>
      <c r="I127" s="62">
        <v>1514250.9994232294</v>
      </c>
    </row>
    <row r="128" spans="2:9" x14ac:dyDescent="0.35">
      <c r="B128" s="50" t="s">
        <v>26</v>
      </c>
      <c r="C128" s="23">
        <v>0</v>
      </c>
      <c r="D128" s="23">
        <v>0</v>
      </c>
      <c r="E128" s="23">
        <v>0</v>
      </c>
      <c r="F128" s="23">
        <v>7249029.5172367375</v>
      </c>
      <c r="G128" s="23">
        <v>7611480.9930985747</v>
      </c>
      <c r="H128" s="23">
        <v>7992055.0427535037</v>
      </c>
      <c r="I128" s="62">
        <v>22852565.553088814</v>
      </c>
    </row>
    <row r="132" spans="9:9" x14ac:dyDescent="0.35">
      <c r="I132" s="52"/>
    </row>
  </sheetData>
  <mergeCells count="3">
    <mergeCell ref="A32:A34"/>
    <mergeCell ref="A36:A38"/>
    <mergeCell ref="A40:A42"/>
  </mergeCells>
  <pageMargins left="0.25" right="0.25" top="0.75" bottom="0.75" header="0.3" footer="0.3"/>
  <pageSetup scale="80" orientation="landscape" horizontalDpi="300" verticalDpi="3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BN Worksheet</vt:lpstr>
      <vt:lpstr>Amendments</vt:lpstr>
      <vt:lpstr>'BN Worksheet'!Print_Area</vt:lpstr>
      <vt:lpstr>'BN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Bloom, Jonathan (EHS)</dc:creator>
  <cp:lastModifiedBy>Konefal, Kaela (EHS)</cp:lastModifiedBy>
  <cp:lastPrinted>2023-07-26T20:38:32Z</cp:lastPrinted>
  <dcterms:created xsi:type="dcterms:W3CDTF">2023-05-23T19:33:10Z</dcterms:created>
  <dcterms:modified xsi:type="dcterms:W3CDTF">2023-10-13T20:12:47Z</dcterms:modified>
</cp:coreProperties>
</file>