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605" yWindow="435" windowWidth="15480" windowHeight="11640"/>
  </bookViews>
  <sheets>
    <sheet name="2014" sheetId="5" r:id="rId1"/>
    <sheet name="2013" sheetId="6" r:id="rId2"/>
    <sheet name="2012" sheetId="7" r:id="rId3"/>
    <sheet name="2011" sheetId="8" r:id="rId4"/>
    <sheet name="Sheet1" sheetId="10" r:id="rId5"/>
  </sheets>
  <calcPr calcId="145621"/>
</workbook>
</file>

<file path=xl/calcChain.xml><?xml version="1.0" encoding="utf-8"?>
<calcChain xmlns="http://schemas.openxmlformats.org/spreadsheetml/2006/main">
  <c r="L33" i="8" l="1"/>
  <c r="K31" i="8"/>
  <c r="H29" i="8"/>
  <c r="F29" i="8"/>
  <c r="K26" i="8"/>
  <c r="H24" i="8"/>
  <c r="F24" i="8"/>
  <c r="K23" i="8"/>
  <c r="K24" i="8" s="1"/>
  <c r="J23" i="8"/>
  <c r="J24" i="8" s="1"/>
  <c r="J21" i="8"/>
  <c r="J33" i="8" s="1"/>
  <c r="H21" i="8"/>
  <c r="H33" i="8" s="1"/>
  <c r="F21" i="8"/>
  <c r="F33" i="8" s="1"/>
  <c r="E21" i="8"/>
  <c r="E33" i="8" s="1"/>
  <c r="K20" i="8"/>
  <c r="B19" i="8"/>
  <c r="B21" i="8" s="1"/>
  <c r="B33" i="8" s="1"/>
  <c r="B18" i="8"/>
  <c r="K17" i="8"/>
  <c r="J17" i="8"/>
  <c r="K16" i="8"/>
  <c r="J15" i="8"/>
  <c r="K13" i="8"/>
  <c r="B12" i="8"/>
  <c r="K10" i="8"/>
  <c r="K21" i="8" s="1"/>
  <c r="L33" i="7"/>
  <c r="E33" i="7"/>
  <c r="K31" i="7"/>
  <c r="H29" i="7"/>
  <c r="F29" i="7"/>
  <c r="K26" i="7"/>
  <c r="F24" i="7"/>
  <c r="K23" i="7"/>
  <c r="K24" i="7" s="1"/>
  <c r="J23" i="7"/>
  <c r="J24" i="7" s="1"/>
  <c r="H21" i="7"/>
  <c r="H33" i="7" s="1"/>
  <c r="F21" i="7"/>
  <c r="F33" i="7" s="1"/>
  <c r="E21" i="7"/>
  <c r="K20" i="7"/>
  <c r="B19" i="7"/>
  <c r="B18" i="7"/>
  <c r="K17" i="7"/>
  <c r="J17" i="7"/>
  <c r="J21" i="7" s="1"/>
  <c r="J33" i="7" s="1"/>
  <c r="K16" i="7"/>
  <c r="J15" i="7"/>
  <c r="K13" i="7"/>
  <c r="B12" i="7"/>
  <c r="B21" i="7" s="1"/>
  <c r="B33" i="7" s="1"/>
  <c r="K10" i="7"/>
  <c r="K21" i="7" s="1"/>
  <c r="L33" i="6"/>
  <c r="E33" i="6"/>
  <c r="D33" i="6"/>
  <c r="K31" i="6"/>
  <c r="K26" i="6"/>
  <c r="K23" i="6"/>
  <c r="J23" i="6"/>
  <c r="H21" i="6"/>
  <c r="H33" i="6" s="1"/>
  <c r="E21" i="6"/>
  <c r="D21" i="6"/>
  <c r="B21" i="6"/>
  <c r="B33" i="6" s="1"/>
  <c r="K20" i="6"/>
  <c r="B19" i="6"/>
  <c r="B18" i="6"/>
  <c r="K17" i="6"/>
  <c r="J17" i="6"/>
  <c r="K16" i="6"/>
  <c r="J15" i="6"/>
  <c r="J21" i="6" s="1"/>
  <c r="J33" i="6" s="1"/>
  <c r="K13" i="6"/>
  <c r="B12" i="6"/>
  <c r="K10" i="6"/>
  <c r="K21" i="6" s="1"/>
  <c r="K33" i="6" s="1"/>
  <c r="F9" i="6"/>
  <c r="F21" i="6" s="1"/>
  <c r="K33" i="8" l="1"/>
  <c r="M35" i="8"/>
  <c r="M35" i="7"/>
  <c r="K33" i="7"/>
  <c r="N34" i="6"/>
  <c r="F33" i="6"/>
  <c r="K24" i="5" l="1"/>
  <c r="F24" i="5"/>
  <c r="K23" i="5"/>
  <c r="J23" i="5"/>
  <c r="J24" i="5" s="1"/>
  <c r="H24" i="5"/>
  <c r="K31" i="5"/>
  <c r="K26" i="5"/>
  <c r="K20" i="5"/>
  <c r="B19" i="5"/>
  <c r="B18" i="5"/>
  <c r="K17" i="5"/>
  <c r="K16" i="5"/>
  <c r="F15" i="5"/>
  <c r="K13" i="5"/>
  <c r="L24" i="5" l="1"/>
  <c r="L33" i="5" s="1"/>
  <c r="J21" i="5"/>
  <c r="J33" i="5" s="1"/>
  <c r="C33" i="5"/>
  <c r="F21" i="5" l="1"/>
  <c r="F33" i="5" s="1"/>
  <c r="E21" i="5"/>
  <c r="E33" i="5" s="1"/>
  <c r="D21" i="5"/>
  <c r="D33" i="5" s="1"/>
  <c r="H21" i="5" l="1"/>
  <c r="H33" i="5" s="1"/>
  <c r="B21" i="5"/>
  <c r="B33" i="5" s="1"/>
  <c r="K21" i="5"/>
  <c r="K33" i="5" s="1"/>
  <c r="M34" i="5" l="1"/>
</calcChain>
</file>

<file path=xl/sharedStrings.xml><?xml version="1.0" encoding="utf-8"?>
<sst xmlns="http://schemas.openxmlformats.org/spreadsheetml/2006/main" count="263" uniqueCount="42">
  <si>
    <t>Quality</t>
  </si>
  <si>
    <t>HMO</t>
  </si>
  <si>
    <t>PPO</t>
  </si>
  <si>
    <t>Both</t>
  </si>
  <si>
    <t>Fallon</t>
  </si>
  <si>
    <t>Aetna</t>
  </si>
  <si>
    <t>Total Commercial</t>
  </si>
  <si>
    <t>Total Managed Medicaid</t>
  </si>
  <si>
    <t>Tufts Medicare Preferred</t>
  </si>
  <si>
    <t>Commercial Medicare  Subtotal</t>
  </si>
  <si>
    <t>GRAND TOTAL</t>
  </si>
  <si>
    <t>P4P Contracts</t>
  </si>
  <si>
    <t>Risk Contracts</t>
  </si>
  <si>
    <t>FFS Arrangements</t>
  </si>
  <si>
    <t>Incentive-Based Revenue</t>
  </si>
  <si>
    <t>Incentive</t>
  </si>
  <si>
    <t>Revenue</t>
  </si>
  <si>
    <t xml:space="preserve">Other Revenue Arrangements </t>
  </si>
  <si>
    <t>Net Cap Revenue</t>
  </si>
  <si>
    <t>BCBSMA FI &amp; SI</t>
  </si>
  <si>
    <t>BCBSMA PPO</t>
  </si>
  <si>
    <t>Tufts FI</t>
  </si>
  <si>
    <t xml:space="preserve"> </t>
  </si>
  <si>
    <t>Tufts SI</t>
  </si>
  <si>
    <t>Tufts PPO (incl. CareLink)</t>
  </si>
  <si>
    <t>HPHC FI</t>
  </si>
  <si>
    <t>HPHC SI</t>
  </si>
  <si>
    <t>HPHC PPO (incl. Passport &amp; Independence)</t>
  </si>
  <si>
    <t>NHP Comm</t>
  </si>
  <si>
    <t>Medicaid FFS</t>
  </si>
  <si>
    <t>Medicare FFS</t>
  </si>
  <si>
    <t>Other Commercial (Any remaining payors not listed above - lump together)</t>
  </si>
  <si>
    <t>NHP Medicaid</t>
  </si>
  <si>
    <t>Claims-Based Revenue</t>
  </si>
  <si>
    <t>Incentive-Based Revenue (2)</t>
  </si>
  <si>
    <t>Net Cap Revenue (1)</t>
  </si>
  <si>
    <t>Incentive (2)</t>
  </si>
  <si>
    <t xml:space="preserve">(1) Represents Net Capitation Revenue which is the total revenue earned for each of our Risk Contracts. This is consistent with last year’s filing.  Atrius Health is not paid on a “Claims-based” (i.e. Fee for service) basis </t>
  </si>
  <si>
    <t>nor do we settle on surplus/deficit basis, so we are not able to provide the information exactly as requested.</t>
  </si>
  <si>
    <t>(2) Represents estimates since final calculations/settlement do not occur until October/November</t>
  </si>
  <si>
    <t>NHP Medicaid (incl CommCare)</t>
  </si>
  <si>
    <t>*Does not include non-Atrius RMG risk contracts (consistent with 2013). Includes RMG Atrius risk contracts with BCBS FI &amp; SI and HPHC SI.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</si>
</sst>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i/>
      <sz val="10"/>
      <color theme="1"/>
      <name val="Cambria"/>
      <family val="1"/>
      <scheme val="major"/>
    </font>
    <font>
      <i/>
      <sz val="10"/>
      <color theme="1"/>
      <name val="Cambria"/>
      <family val="1"/>
      <scheme val="maj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Cambria"/>
      <family val="1"/>
      <scheme val="maj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8" fontId="4" fillId="0" borderId="12" xfId="0" applyNumberFormat="1" applyFont="1" applyBorder="1" applyAlignment="1">
      <alignment horizontal="center" vertical="center" wrapText="1"/>
    </xf>
    <xf numFmtId="6" fontId="4" fillId="0" borderId="1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0" fillId="0" borderId="0" xfId="1" applyNumberFormat="1" applyFont="1"/>
    <xf numFmtId="164" fontId="4" fillId="0" borderId="12" xfId="1" applyNumberFormat="1" applyFont="1" applyBorder="1" applyAlignment="1">
      <alignment horizontal="center" vertical="center" wrapText="1"/>
    </xf>
    <xf numFmtId="164" fontId="4" fillId="2" borderId="12" xfId="1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164" fontId="4" fillId="0" borderId="12" xfId="1" applyNumberFormat="1" applyFont="1" applyFill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164" fontId="0" fillId="3" borderId="0" xfId="1" applyNumberFormat="1" applyFont="1" applyFill="1"/>
    <xf numFmtId="164" fontId="10" fillId="0" borderId="12" xfId="1" applyNumberFormat="1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vertical="center" wrapText="1"/>
    </xf>
    <xf numFmtId="0" fontId="0" fillId="0" borderId="12" xfId="0" applyBorder="1"/>
    <xf numFmtId="164" fontId="1" fillId="0" borderId="0" xfId="0" applyNumberFormat="1" applyFont="1"/>
    <xf numFmtId="164" fontId="4" fillId="0" borderId="12" xfId="1" applyNumberFormat="1" applyFont="1" applyBorder="1" applyAlignment="1">
      <alignment vertical="center" wrapText="1"/>
    </xf>
    <xf numFmtId="164" fontId="3" fillId="0" borderId="12" xfId="1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164" fontId="3" fillId="0" borderId="12" xfId="1" applyNumberFormat="1" applyFont="1" applyBorder="1" applyAlignment="1">
      <alignment vertical="center" wrapText="1"/>
    </xf>
    <xf numFmtId="164" fontId="4" fillId="2" borderId="12" xfId="1" applyNumberFormat="1" applyFont="1" applyFill="1" applyBorder="1" applyAlignment="1">
      <alignment vertical="center" wrapText="1"/>
    </xf>
    <xf numFmtId="164" fontId="3" fillId="0" borderId="12" xfId="0" applyNumberFormat="1" applyFont="1" applyBorder="1" applyAlignment="1">
      <alignment vertical="center" wrapText="1"/>
    </xf>
    <xf numFmtId="0" fontId="11" fillId="0" borderId="0" xfId="0" applyFont="1" applyAlignment="1">
      <alignment horizontal="left"/>
    </xf>
    <xf numFmtId="0" fontId="12" fillId="0" borderId="0" xfId="0" applyFont="1"/>
    <xf numFmtId="0" fontId="4" fillId="0" borderId="3" xfId="0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164" fontId="11" fillId="0" borderId="0" xfId="0" applyNumberFormat="1" applyFont="1"/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3" fillId="0" borderId="9" xfId="1" applyNumberFormat="1" applyFont="1" applyBorder="1" applyAlignment="1">
      <alignment horizontal="center" vertical="center" wrapText="1"/>
    </xf>
    <xf numFmtId="164" fontId="3" fillId="0" borderId="5" xfId="1" applyNumberFormat="1" applyFont="1" applyBorder="1" applyAlignment="1">
      <alignment horizontal="center" vertical="center" wrapText="1"/>
    </xf>
    <xf numFmtId="164" fontId="3" fillId="0" borderId="10" xfId="1" applyNumberFormat="1" applyFont="1" applyBorder="1" applyAlignment="1">
      <alignment horizontal="center" vertical="center" wrapText="1"/>
    </xf>
    <xf numFmtId="164" fontId="3" fillId="0" borderId="6" xfId="1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64" fontId="5" fillId="0" borderId="10" xfId="1" applyNumberFormat="1" applyFont="1" applyBorder="1" applyAlignment="1">
      <alignment vertical="top" wrapText="1"/>
    </xf>
    <xf numFmtId="164" fontId="5" fillId="0" borderId="6" xfId="1" applyNumberFormat="1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164" fontId="5" fillId="0" borderId="11" xfId="1" applyNumberFormat="1" applyFont="1" applyBorder="1" applyAlignment="1">
      <alignment vertical="top" wrapText="1"/>
    </xf>
    <xf numFmtId="164" fontId="5" fillId="0" borderId="8" xfId="1" applyNumberFormat="1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tabSelected="1" workbookViewId="0">
      <selection activeCell="D10" sqref="D10"/>
    </sheetView>
  </sheetViews>
  <sheetFormatPr defaultRowHeight="15" x14ac:dyDescent="0.25"/>
  <cols>
    <col min="1" max="1" width="14.28515625" style="1" customWidth="1"/>
    <col min="2" max="2" width="13.28515625" customWidth="1"/>
    <col min="3" max="3" width="13.28515625" bestFit="1" customWidth="1"/>
    <col min="4" max="4" width="11.7109375" bestFit="1" customWidth="1"/>
    <col min="5" max="5" width="13.28515625" bestFit="1" customWidth="1"/>
    <col min="6" max="6" width="15.28515625" bestFit="1" customWidth="1"/>
    <col min="8" max="8" width="14.28515625" bestFit="1" customWidth="1"/>
    <col min="10" max="10" width="11.7109375" style="16" bestFit="1" customWidth="1"/>
    <col min="11" max="11" width="13.28515625" style="16" bestFit="1" customWidth="1"/>
    <col min="12" max="12" width="11.7109375" bestFit="1" customWidth="1"/>
    <col min="13" max="13" width="15.7109375" customWidth="1"/>
    <col min="17" max="17" width="20.42578125" customWidth="1"/>
  </cols>
  <sheetData>
    <row r="1" spans="1:14" ht="15.75" thickBot="1" x14ac:dyDescent="0.3">
      <c r="A1" s="2">
        <v>2014</v>
      </c>
    </row>
    <row r="2" spans="1:14" x14ac:dyDescent="0.25">
      <c r="A2" s="39"/>
      <c r="B2" s="42" t="s">
        <v>11</v>
      </c>
      <c r="C2" s="43"/>
      <c r="D2" s="43"/>
      <c r="E2" s="44"/>
      <c r="F2" s="42" t="s">
        <v>12</v>
      </c>
      <c r="G2" s="43"/>
      <c r="H2" s="43"/>
      <c r="I2" s="44"/>
      <c r="J2" s="51" t="s">
        <v>13</v>
      </c>
      <c r="K2" s="52"/>
      <c r="L2" s="42" t="s">
        <v>17</v>
      </c>
      <c r="M2" s="43"/>
      <c r="N2" s="44"/>
    </row>
    <row r="3" spans="1:14" x14ac:dyDescent="0.25">
      <c r="A3" s="40"/>
      <c r="B3" s="45"/>
      <c r="C3" s="46"/>
      <c r="D3" s="46"/>
      <c r="E3" s="47"/>
      <c r="F3" s="45"/>
      <c r="G3" s="46"/>
      <c r="H3" s="46"/>
      <c r="I3" s="47"/>
      <c r="J3" s="53"/>
      <c r="K3" s="54"/>
      <c r="L3" s="45"/>
      <c r="M3" s="46"/>
      <c r="N3" s="47"/>
    </row>
    <row r="4" spans="1:14" ht="14.25" customHeight="1" thickBot="1" x14ac:dyDescent="0.3">
      <c r="A4" s="41"/>
      <c r="B4" s="48"/>
      <c r="C4" s="49"/>
      <c r="D4" s="49"/>
      <c r="E4" s="50"/>
      <c r="F4" s="48"/>
      <c r="G4" s="49"/>
      <c r="H4" s="49"/>
      <c r="I4" s="50"/>
      <c r="J4" s="53"/>
      <c r="K4" s="54"/>
      <c r="L4" s="45"/>
      <c r="M4" s="46"/>
      <c r="N4" s="47"/>
    </row>
    <row r="5" spans="1:14" ht="15" customHeight="1" x14ac:dyDescent="0.25">
      <c r="A5" s="40"/>
      <c r="B5" s="58" t="s">
        <v>18</v>
      </c>
      <c r="C5" s="59"/>
      <c r="D5" s="58" t="s">
        <v>14</v>
      </c>
      <c r="E5" s="59"/>
      <c r="F5" s="58" t="s">
        <v>18</v>
      </c>
      <c r="G5" s="59"/>
      <c r="H5" s="58" t="s">
        <v>0</v>
      </c>
      <c r="I5" s="59"/>
      <c r="J5" s="53"/>
      <c r="K5" s="54"/>
      <c r="L5" s="55"/>
      <c r="M5" s="56"/>
      <c r="N5" s="57"/>
    </row>
    <row r="6" spans="1:14" ht="15" customHeight="1" x14ac:dyDescent="0.25">
      <c r="A6" s="40"/>
      <c r="B6" s="58"/>
      <c r="C6" s="59"/>
      <c r="D6" s="58"/>
      <c r="E6" s="59"/>
      <c r="F6" s="58"/>
      <c r="G6" s="59"/>
      <c r="H6" s="58" t="s">
        <v>15</v>
      </c>
      <c r="I6" s="59"/>
      <c r="J6" s="62"/>
      <c r="K6" s="63"/>
      <c r="L6" s="55"/>
      <c r="M6" s="64"/>
      <c r="N6" s="57"/>
    </row>
    <row r="7" spans="1:14" ht="15.75" thickBot="1" x14ac:dyDescent="0.3">
      <c r="A7" s="41"/>
      <c r="B7" s="60"/>
      <c r="C7" s="61"/>
      <c r="D7" s="60"/>
      <c r="E7" s="61"/>
      <c r="F7" s="60"/>
      <c r="G7" s="61"/>
      <c r="H7" s="60" t="s">
        <v>16</v>
      </c>
      <c r="I7" s="61"/>
      <c r="J7" s="65"/>
      <c r="K7" s="66"/>
      <c r="L7" s="67"/>
      <c r="M7" s="68"/>
      <c r="N7" s="69"/>
    </row>
    <row r="8" spans="1:14" s="15" customFormat="1" ht="16.5" thickBot="1" x14ac:dyDescent="0.3">
      <c r="A8" s="14"/>
      <c r="B8" s="4" t="s">
        <v>1</v>
      </c>
      <c r="C8" s="4" t="s">
        <v>2</v>
      </c>
      <c r="D8" s="4" t="s">
        <v>1</v>
      </c>
      <c r="E8" s="4" t="s">
        <v>2</v>
      </c>
      <c r="F8" s="4" t="s">
        <v>1</v>
      </c>
      <c r="G8" s="4" t="s">
        <v>2</v>
      </c>
      <c r="H8" s="4" t="s">
        <v>1</v>
      </c>
      <c r="I8" s="4" t="s">
        <v>2</v>
      </c>
      <c r="J8" s="17" t="s">
        <v>1</v>
      </c>
      <c r="K8" s="17" t="s">
        <v>2</v>
      </c>
      <c r="L8" s="4" t="s">
        <v>1</v>
      </c>
      <c r="M8" s="4" t="s">
        <v>2</v>
      </c>
      <c r="N8" s="4" t="s">
        <v>3</v>
      </c>
    </row>
    <row r="9" spans="1:14" ht="15.75" thickBot="1" x14ac:dyDescent="0.3">
      <c r="A9" s="5" t="s">
        <v>19</v>
      </c>
      <c r="B9" s="4" t="s">
        <v>22</v>
      </c>
      <c r="C9" s="4" t="s">
        <v>22</v>
      </c>
      <c r="D9" s="4" t="s">
        <v>22</v>
      </c>
      <c r="E9" s="4" t="s">
        <v>22</v>
      </c>
      <c r="F9" s="17">
        <v>216943828</v>
      </c>
      <c r="G9" s="4" t="s">
        <v>22</v>
      </c>
      <c r="H9" s="17">
        <v>16786000</v>
      </c>
      <c r="I9" s="4" t="s">
        <v>22</v>
      </c>
      <c r="J9" s="17">
        <v>2880687</v>
      </c>
      <c r="K9" s="17" t="s">
        <v>22</v>
      </c>
      <c r="L9" s="4" t="s">
        <v>22</v>
      </c>
      <c r="M9" s="4" t="s">
        <v>22</v>
      </c>
      <c r="N9" s="4" t="s">
        <v>22</v>
      </c>
    </row>
    <row r="10" spans="1:14" ht="15.75" thickBot="1" x14ac:dyDescent="0.3">
      <c r="A10" s="5" t="s">
        <v>20</v>
      </c>
      <c r="B10" s="4"/>
      <c r="C10" s="4"/>
      <c r="D10" s="4"/>
      <c r="E10" s="4"/>
      <c r="F10" s="4"/>
      <c r="G10" s="4"/>
      <c r="H10" s="6"/>
      <c r="I10" s="4"/>
      <c r="J10" s="17"/>
      <c r="K10" s="20">
        <v>156412134</v>
      </c>
      <c r="L10" s="4"/>
      <c r="M10" s="4"/>
      <c r="N10" s="4"/>
    </row>
    <row r="11" spans="1:14" ht="15.75" thickBot="1" x14ac:dyDescent="0.3">
      <c r="A11" s="5" t="s">
        <v>21</v>
      </c>
      <c r="B11" s="4" t="s">
        <v>22</v>
      </c>
      <c r="C11" s="4" t="s">
        <v>22</v>
      </c>
      <c r="D11" s="4" t="s">
        <v>22</v>
      </c>
      <c r="E11" s="7" t="s">
        <v>22</v>
      </c>
      <c r="F11" s="17">
        <v>41976283</v>
      </c>
      <c r="G11" s="4" t="s">
        <v>22</v>
      </c>
      <c r="H11" s="17">
        <v>1500000</v>
      </c>
      <c r="I11" s="4" t="s">
        <v>22</v>
      </c>
      <c r="J11" s="17" t="s">
        <v>22</v>
      </c>
      <c r="K11" s="20" t="s">
        <v>22</v>
      </c>
      <c r="L11" s="4" t="s">
        <v>22</v>
      </c>
      <c r="M11" s="4" t="s">
        <v>22</v>
      </c>
      <c r="N11" s="4" t="s">
        <v>22</v>
      </c>
    </row>
    <row r="12" spans="1:14" ht="15.75" thickBot="1" x14ac:dyDescent="0.3">
      <c r="A12" s="5" t="s">
        <v>23</v>
      </c>
      <c r="B12" s="20">
        <v>10686733</v>
      </c>
      <c r="C12" s="4"/>
      <c r="D12" s="17">
        <v>670000</v>
      </c>
      <c r="E12" s="7"/>
      <c r="F12" s="4"/>
      <c r="G12" s="4"/>
      <c r="H12" s="4"/>
      <c r="I12" s="4"/>
      <c r="J12" s="17"/>
      <c r="L12" s="4"/>
      <c r="M12" s="4"/>
      <c r="N12" s="4"/>
    </row>
    <row r="13" spans="1:14" ht="39" thickBot="1" x14ac:dyDescent="0.3">
      <c r="A13" s="5" t="s">
        <v>24</v>
      </c>
      <c r="B13" s="4"/>
      <c r="C13" s="4"/>
      <c r="D13" s="4"/>
      <c r="E13" s="7"/>
      <c r="F13" s="4"/>
      <c r="G13" s="4"/>
      <c r="H13" s="4"/>
      <c r="I13" s="4"/>
      <c r="J13" s="17"/>
      <c r="K13" s="20">
        <f>37465433+4237064</f>
        <v>41702497</v>
      </c>
      <c r="L13" s="4"/>
      <c r="M13" s="4"/>
      <c r="N13" s="4"/>
    </row>
    <row r="14" spans="1:14" ht="15.75" thickBot="1" x14ac:dyDescent="0.3">
      <c r="A14" s="5" t="s">
        <v>25</v>
      </c>
      <c r="B14" s="4"/>
      <c r="C14" s="4"/>
      <c r="D14" s="17"/>
      <c r="E14" s="4"/>
      <c r="F14" s="17">
        <v>71204840</v>
      </c>
      <c r="G14" s="4"/>
      <c r="H14" s="17">
        <v>700000</v>
      </c>
      <c r="I14" s="4"/>
      <c r="J14" s="17"/>
      <c r="K14" s="20"/>
      <c r="L14" s="4"/>
      <c r="M14" s="4"/>
      <c r="N14" s="4"/>
    </row>
    <row r="15" spans="1:14" ht="15.75" thickBot="1" x14ac:dyDescent="0.3">
      <c r="A15" s="5" t="s">
        <v>26</v>
      </c>
      <c r="B15" s="4"/>
      <c r="C15" s="4"/>
      <c r="D15" s="4"/>
      <c r="E15" s="4"/>
      <c r="F15" s="17">
        <f>75070859+3180160</f>
        <v>78251019</v>
      </c>
      <c r="G15" s="4"/>
      <c r="H15" s="17">
        <v>800000</v>
      </c>
      <c r="I15" s="4"/>
      <c r="J15" s="23"/>
      <c r="K15" s="20"/>
      <c r="L15" s="4"/>
      <c r="M15" s="4"/>
      <c r="N15" s="4"/>
    </row>
    <row r="16" spans="1:14" ht="39" thickBot="1" x14ac:dyDescent="0.3">
      <c r="A16" s="5" t="s">
        <v>27</v>
      </c>
      <c r="B16" s="4"/>
      <c r="C16" s="4"/>
      <c r="D16" s="4"/>
      <c r="E16" s="4"/>
      <c r="F16" s="4"/>
      <c r="G16" s="4"/>
      <c r="H16" s="4"/>
      <c r="I16" s="4"/>
      <c r="J16" s="17"/>
      <c r="K16" s="20">
        <f>66528568+3013701</f>
        <v>69542269</v>
      </c>
      <c r="L16" s="4"/>
      <c r="M16" s="4"/>
      <c r="N16" s="4"/>
    </row>
    <row r="17" spans="1:14" ht="15.75" thickBot="1" x14ac:dyDescent="0.3">
      <c r="A17" s="5" t="s">
        <v>28</v>
      </c>
      <c r="B17" s="4"/>
      <c r="C17" s="4"/>
      <c r="D17" s="17">
        <v>298000</v>
      </c>
      <c r="F17" s="17">
        <v>12926766</v>
      </c>
      <c r="G17" s="4"/>
      <c r="H17" s="4"/>
      <c r="I17" s="4"/>
      <c r="J17" s="17">
        <v>1817825</v>
      </c>
      <c r="K17" s="20">
        <f>6626640+1394455</f>
        <v>8021095</v>
      </c>
      <c r="L17" s="4"/>
      <c r="M17" s="4"/>
      <c r="N17" s="4"/>
    </row>
    <row r="18" spans="1:14" ht="15.75" thickBot="1" x14ac:dyDescent="0.3">
      <c r="A18" s="5" t="s">
        <v>4</v>
      </c>
      <c r="B18" s="20">
        <f>6013922+613127</f>
        <v>6627049</v>
      </c>
      <c r="C18" s="17"/>
      <c r="D18" s="17"/>
      <c r="E18" s="17">
        <v>300000</v>
      </c>
      <c r="F18" s="17"/>
      <c r="G18" s="4"/>
      <c r="H18" s="17"/>
      <c r="I18" s="4"/>
      <c r="J18" s="17"/>
      <c r="K18" s="16">
        <v>76842</v>
      </c>
      <c r="L18" s="4"/>
      <c r="M18" s="4"/>
      <c r="N18" s="4"/>
    </row>
    <row r="19" spans="1:14" ht="15.75" thickBot="1" x14ac:dyDescent="0.3">
      <c r="A19" s="5" t="s">
        <v>5</v>
      </c>
      <c r="B19" s="17">
        <f>22398564+1659506</f>
        <v>24058070</v>
      </c>
      <c r="C19" s="17"/>
      <c r="D19" s="17"/>
      <c r="E19" s="17">
        <v>150000</v>
      </c>
      <c r="F19" s="4"/>
      <c r="G19" s="4"/>
      <c r="H19" s="4"/>
      <c r="I19" s="4"/>
      <c r="J19" s="17"/>
      <c r="K19" s="20">
        <v>1491983</v>
      </c>
      <c r="L19" s="4"/>
      <c r="M19" s="4"/>
      <c r="N19" s="4"/>
    </row>
    <row r="20" spans="1:14" ht="77.25" thickBot="1" x14ac:dyDescent="0.3">
      <c r="A20" s="5" t="s">
        <v>31</v>
      </c>
      <c r="B20" s="4"/>
      <c r="C20" s="4"/>
      <c r="D20" s="4"/>
      <c r="E20" s="4"/>
      <c r="F20" s="4"/>
      <c r="G20" s="4"/>
      <c r="H20" s="4"/>
      <c r="I20" s="4"/>
      <c r="J20" s="17"/>
      <c r="K20" s="17">
        <f>50886286+5242206</f>
        <v>56128492</v>
      </c>
      <c r="L20" s="4"/>
      <c r="M20" s="4"/>
      <c r="N20" s="4"/>
    </row>
    <row r="21" spans="1:14" ht="28.5" customHeight="1" thickBot="1" x14ac:dyDescent="0.3">
      <c r="A21" s="8" t="s">
        <v>6</v>
      </c>
      <c r="B21" s="21">
        <f>SUM(B12:B20)</f>
        <v>41371852</v>
      </c>
      <c r="C21" s="21"/>
      <c r="D21" s="21">
        <f>SUM(D12:D20)</f>
        <v>968000</v>
      </c>
      <c r="E21" s="21">
        <f>SUM(E17:E20)</f>
        <v>450000</v>
      </c>
      <c r="F21" s="21">
        <f>SUM(F9:F20)</f>
        <v>421302736</v>
      </c>
      <c r="G21" s="4"/>
      <c r="H21" s="21">
        <f>SUM(H9:H20)</f>
        <v>19786000</v>
      </c>
      <c r="I21" s="4"/>
      <c r="J21" s="17">
        <f>SUM(J9:J20)</f>
        <v>4698512</v>
      </c>
      <c r="K21" s="17">
        <f>SUM(K10:K20)</f>
        <v>333375312</v>
      </c>
      <c r="L21" s="4"/>
      <c r="M21" s="4"/>
      <c r="N21" s="4"/>
    </row>
    <row r="22" spans="1:14" ht="15.75" thickBot="1" x14ac:dyDescent="0.3">
      <c r="A22" s="9"/>
      <c r="B22" s="10"/>
      <c r="C22" s="10"/>
      <c r="D22" s="10"/>
      <c r="E22" s="10"/>
      <c r="F22" s="10"/>
      <c r="G22" s="10"/>
      <c r="H22" s="10"/>
      <c r="I22" s="10"/>
      <c r="J22" s="18"/>
      <c r="K22" s="18"/>
      <c r="L22" s="10"/>
      <c r="M22" s="10"/>
      <c r="N22" s="10"/>
    </row>
    <row r="23" spans="1:14" ht="15.75" thickBot="1" x14ac:dyDescent="0.3">
      <c r="A23" s="5" t="s">
        <v>32</v>
      </c>
      <c r="B23" s="4"/>
      <c r="C23" s="4"/>
      <c r="D23" s="17"/>
      <c r="E23" s="25"/>
      <c r="F23" s="17">
        <v>23117341</v>
      </c>
      <c r="G23" s="4"/>
      <c r="H23" s="17">
        <v>1000000</v>
      </c>
      <c r="I23" s="4"/>
      <c r="J23" s="17">
        <f>897722</f>
        <v>897722</v>
      </c>
      <c r="K23" s="20">
        <f>168219+438150+1888257</f>
        <v>2494626</v>
      </c>
      <c r="L23" s="17">
        <v>864348</v>
      </c>
      <c r="M23" s="4"/>
      <c r="N23" s="4"/>
    </row>
    <row r="24" spans="1:14" ht="26.25" thickBot="1" x14ac:dyDescent="0.3">
      <c r="A24" s="8" t="s">
        <v>7</v>
      </c>
      <c r="B24" s="4"/>
      <c r="C24" s="4"/>
      <c r="D24" s="21"/>
      <c r="F24" s="21">
        <f>F23</f>
        <v>23117341</v>
      </c>
      <c r="G24" s="4"/>
      <c r="H24" s="21">
        <f>H23</f>
        <v>1000000</v>
      </c>
      <c r="I24" s="4"/>
      <c r="J24" s="17">
        <f>J23</f>
        <v>897722</v>
      </c>
      <c r="K24" s="20">
        <f>K23</f>
        <v>2494626</v>
      </c>
      <c r="L24" s="21">
        <f>L23</f>
        <v>864348</v>
      </c>
      <c r="M24" s="4"/>
      <c r="N24" s="4"/>
    </row>
    <row r="25" spans="1:14" ht="15.75" thickBot="1" x14ac:dyDescent="0.3">
      <c r="A25" s="9"/>
      <c r="B25" s="10"/>
      <c r="C25" s="10"/>
      <c r="D25" s="10"/>
      <c r="E25" s="10"/>
      <c r="F25" s="10"/>
      <c r="G25" s="10"/>
      <c r="H25" s="10"/>
      <c r="I25" s="10"/>
      <c r="J25" s="18"/>
      <c r="K25" s="18"/>
      <c r="L25" s="10"/>
      <c r="M25" s="10"/>
      <c r="N25" s="10"/>
    </row>
    <row r="26" spans="1:14" ht="15.75" thickBot="1" x14ac:dyDescent="0.3">
      <c r="A26" s="8" t="s">
        <v>29</v>
      </c>
      <c r="B26" s="4"/>
      <c r="C26" s="4"/>
      <c r="D26" s="4"/>
      <c r="E26" s="4"/>
      <c r="F26" s="4"/>
      <c r="G26" s="4"/>
      <c r="H26" s="4"/>
      <c r="I26" s="4"/>
      <c r="J26" s="17"/>
      <c r="K26" s="20">
        <f>13158047+501529</f>
        <v>13659576</v>
      </c>
      <c r="L26" s="4"/>
      <c r="M26" s="4"/>
      <c r="N26" s="4"/>
    </row>
    <row r="27" spans="1:14" ht="15.75" thickBot="1" x14ac:dyDescent="0.3">
      <c r="A27" s="9"/>
      <c r="B27" s="10"/>
      <c r="C27" s="10"/>
      <c r="D27" s="10"/>
      <c r="E27" s="10"/>
      <c r="F27" s="10"/>
      <c r="G27" s="10"/>
      <c r="H27" s="10"/>
      <c r="I27" s="10"/>
      <c r="J27" s="18"/>
      <c r="K27" s="18"/>
      <c r="L27" s="10"/>
      <c r="M27" s="10"/>
      <c r="N27" s="10"/>
    </row>
    <row r="28" spans="1:14" ht="26.25" thickBot="1" x14ac:dyDescent="0.3">
      <c r="A28" s="5" t="s">
        <v>8</v>
      </c>
      <c r="B28" s="4"/>
      <c r="C28" s="4"/>
      <c r="D28" s="4"/>
      <c r="E28" s="4"/>
      <c r="F28" s="17">
        <v>83985625</v>
      </c>
      <c r="G28" s="4"/>
      <c r="H28" s="17">
        <v>490000</v>
      </c>
      <c r="I28" s="4"/>
      <c r="J28" s="17"/>
      <c r="K28" s="20"/>
      <c r="L28" s="4"/>
      <c r="M28" s="4"/>
      <c r="N28" s="4"/>
    </row>
    <row r="29" spans="1:14" ht="39" thickBot="1" x14ac:dyDescent="0.3">
      <c r="A29" s="8" t="s">
        <v>9</v>
      </c>
      <c r="B29" s="3"/>
      <c r="C29" s="3"/>
      <c r="D29" s="3"/>
      <c r="E29" s="3"/>
      <c r="F29" s="3"/>
      <c r="G29" s="3"/>
      <c r="H29" s="3"/>
      <c r="I29" s="3"/>
      <c r="J29" s="17"/>
      <c r="K29" s="20"/>
      <c r="L29" s="3"/>
      <c r="M29" s="3"/>
      <c r="N29" s="3"/>
    </row>
    <row r="30" spans="1:14" ht="15.75" thickBot="1" x14ac:dyDescent="0.3">
      <c r="A30" s="11"/>
      <c r="B30" s="12"/>
      <c r="C30" s="12"/>
      <c r="D30" s="12"/>
      <c r="E30" s="12"/>
      <c r="F30" s="12"/>
      <c r="G30" s="12"/>
      <c r="H30" s="12"/>
      <c r="I30" s="12"/>
      <c r="J30" s="18"/>
      <c r="K30" s="18"/>
      <c r="L30" s="12"/>
      <c r="M30" s="12"/>
      <c r="N30" s="12"/>
    </row>
    <row r="31" spans="1:14" ht="15.75" thickBot="1" x14ac:dyDescent="0.3">
      <c r="A31" s="8" t="s">
        <v>30</v>
      </c>
      <c r="B31" s="3"/>
      <c r="C31" s="3"/>
      <c r="D31" s="3"/>
      <c r="E31" s="3"/>
      <c r="F31" s="3"/>
      <c r="G31" s="3"/>
      <c r="H31" s="3"/>
      <c r="I31" s="3"/>
      <c r="J31" s="17"/>
      <c r="K31" s="20">
        <f>69950599+4631876</f>
        <v>74582475</v>
      </c>
      <c r="L31" s="3"/>
      <c r="M31" s="3"/>
      <c r="N31" s="3"/>
    </row>
    <row r="32" spans="1:14" ht="15.75" thickBot="1" x14ac:dyDescent="0.3">
      <c r="A32" s="9"/>
      <c r="B32" s="12"/>
      <c r="C32" s="12"/>
      <c r="D32" s="12"/>
      <c r="E32" s="12"/>
      <c r="F32" s="12"/>
      <c r="G32" s="12"/>
      <c r="H32" s="12"/>
      <c r="I32" s="12"/>
      <c r="J32" s="18"/>
      <c r="K32" s="22"/>
      <c r="L32" s="12"/>
      <c r="M32" s="12"/>
      <c r="N32" s="12"/>
    </row>
    <row r="33" spans="1:14" ht="15.75" thickBot="1" x14ac:dyDescent="0.3">
      <c r="A33" s="13" t="s">
        <v>10</v>
      </c>
      <c r="B33" s="24">
        <f>B21</f>
        <v>41371852</v>
      </c>
      <c r="C33" s="24">
        <f>C21</f>
        <v>0</v>
      </c>
      <c r="D33" s="24">
        <f>D21+D24</f>
        <v>968000</v>
      </c>
      <c r="E33" s="24">
        <f>E21</f>
        <v>450000</v>
      </c>
      <c r="F33" s="24">
        <f>F21+F24+F28</f>
        <v>528405702</v>
      </c>
      <c r="G33" s="3"/>
      <c r="H33" s="24">
        <f>H21+H28</f>
        <v>20276000</v>
      </c>
      <c r="I33" s="3"/>
      <c r="J33" s="17">
        <f>J21+J24</f>
        <v>5596234</v>
      </c>
      <c r="K33" s="20">
        <f>K21+K24+K26+K28+K31</f>
        <v>424111989</v>
      </c>
      <c r="L33" s="21">
        <f>L24</f>
        <v>864348</v>
      </c>
      <c r="M33" s="3"/>
      <c r="N33" s="3"/>
    </row>
    <row r="34" spans="1:14" x14ac:dyDescent="0.25">
      <c r="M34" s="26">
        <f>SUM(B33:P33)</f>
        <v>1022044125</v>
      </c>
    </row>
    <row r="35" spans="1:14" x14ac:dyDescent="0.25">
      <c r="A35" s="19" t="s">
        <v>41</v>
      </c>
    </row>
  </sheetData>
  <mergeCells count="18">
    <mergeCell ref="J5:K5"/>
    <mergeCell ref="L5:N5"/>
    <mergeCell ref="H6:I6"/>
    <mergeCell ref="A5:A7"/>
    <mergeCell ref="B5:C7"/>
    <mergeCell ref="D5:E7"/>
    <mergeCell ref="F5:G7"/>
    <mergeCell ref="H5:I5"/>
    <mergeCell ref="J6:K6"/>
    <mergeCell ref="L6:N6"/>
    <mergeCell ref="H7:I7"/>
    <mergeCell ref="J7:K7"/>
    <mergeCell ref="L7:N7"/>
    <mergeCell ref="A2:A4"/>
    <mergeCell ref="B2:E4"/>
    <mergeCell ref="F2:I4"/>
    <mergeCell ref="J2:K4"/>
    <mergeCell ref="L2:N4"/>
  </mergeCells>
  <pageMargins left="0.7" right="0.7" top="0.75" bottom="0.75" header="0.3" footer="0.3"/>
  <pageSetup scale="5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topLeftCell="A7" workbookViewId="0">
      <selection activeCell="L1" sqref="L1"/>
    </sheetView>
  </sheetViews>
  <sheetFormatPr defaultRowHeight="15" x14ac:dyDescent="0.25"/>
  <cols>
    <col min="1" max="1" width="13.85546875" customWidth="1"/>
    <col min="2" max="2" width="18" customWidth="1"/>
    <col min="3" max="3" width="12.85546875" customWidth="1"/>
    <col min="4" max="4" width="18" customWidth="1"/>
    <col min="5" max="5" width="14.85546875" customWidth="1"/>
    <col min="6" max="6" width="21.28515625" customWidth="1"/>
    <col min="8" max="8" width="19.28515625" customWidth="1"/>
    <col min="10" max="10" width="15.42578125" customWidth="1"/>
    <col min="11" max="11" width="13.5703125" customWidth="1"/>
    <col min="14" max="14" width="22.28515625" customWidth="1"/>
  </cols>
  <sheetData>
    <row r="1" spans="1:14" ht="15.75" thickBot="1" x14ac:dyDescent="0.3">
      <c r="A1" s="2">
        <v>2013</v>
      </c>
    </row>
    <row r="2" spans="1:14" x14ac:dyDescent="0.25">
      <c r="A2" s="39"/>
      <c r="B2" s="42" t="s">
        <v>11</v>
      </c>
      <c r="C2" s="43"/>
      <c r="D2" s="43"/>
      <c r="E2" s="44"/>
      <c r="F2" s="42" t="s">
        <v>12</v>
      </c>
      <c r="G2" s="43"/>
      <c r="H2" s="43"/>
      <c r="I2" s="44"/>
      <c r="J2" s="42" t="s">
        <v>13</v>
      </c>
      <c r="K2" s="44"/>
      <c r="L2" s="42" t="s">
        <v>17</v>
      </c>
      <c r="M2" s="43"/>
      <c r="N2" s="44"/>
    </row>
    <row r="3" spans="1:14" x14ac:dyDescent="0.25">
      <c r="A3" s="40"/>
      <c r="B3" s="45"/>
      <c r="C3" s="46"/>
      <c r="D3" s="46"/>
      <c r="E3" s="47"/>
      <c r="F3" s="45"/>
      <c r="G3" s="46"/>
      <c r="H3" s="46"/>
      <c r="I3" s="47"/>
      <c r="J3" s="45"/>
      <c r="K3" s="47"/>
      <c r="L3" s="45"/>
      <c r="M3" s="46"/>
      <c r="N3" s="47"/>
    </row>
    <row r="4" spans="1:14" ht="15.75" thickBot="1" x14ac:dyDescent="0.3">
      <c r="A4" s="41"/>
      <c r="B4" s="48"/>
      <c r="C4" s="49"/>
      <c r="D4" s="49"/>
      <c r="E4" s="50"/>
      <c r="F4" s="48"/>
      <c r="G4" s="49"/>
      <c r="H4" s="49"/>
      <c r="I4" s="50"/>
      <c r="J4" s="45"/>
      <c r="K4" s="47"/>
      <c r="L4" s="45"/>
      <c r="M4" s="46"/>
      <c r="N4" s="47"/>
    </row>
    <row r="5" spans="1:14" x14ac:dyDescent="0.25">
      <c r="A5" s="40"/>
      <c r="B5" s="58" t="s">
        <v>33</v>
      </c>
      <c r="C5" s="59"/>
      <c r="D5" s="58" t="s">
        <v>34</v>
      </c>
      <c r="E5" s="59"/>
      <c r="F5" s="58" t="s">
        <v>35</v>
      </c>
      <c r="G5" s="59"/>
      <c r="H5" s="58" t="s">
        <v>0</v>
      </c>
      <c r="I5" s="59"/>
      <c r="J5" s="45"/>
      <c r="K5" s="47"/>
      <c r="L5" s="55"/>
      <c r="M5" s="56"/>
      <c r="N5" s="57"/>
    </row>
    <row r="6" spans="1:14" x14ac:dyDescent="0.25">
      <c r="A6" s="40"/>
      <c r="B6" s="58"/>
      <c r="C6" s="59"/>
      <c r="D6" s="58"/>
      <c r="E6" s="59"/>
      <c r="F6" s="58"/>
      <c r="G6" s="59"/>
      <c r="H6" s="58" t="s">
        <v>36</v>
      </c>
      <c r="I6" s="59"/>
      <c r="J6" s="55"/>
      <c r="K6" s="57"/>
      <c r="L6" s="55"/>
      <c r="M6" s="64"/>
      <c r="N6" s="57"/>
    </row>
    <row r="7" spans="1:14" ht="15.75" thickBot="1" x14ac:dyDescent="0.3">
      <c r="A7" s="41"/>
      <c r="B7" s="60"/>
      <c r="C7" s="61"/>
      <c r="D7" s="60"/>
      <c r="E7" s="61"/>
      <c r="F7" s="60"/>
      <c r="G7" s="61"/>
      <c r="H7" s="60" t="s">
        <v>16</v>
      </c>
      <c r="I7" s="61"/>
      <c r="J7" s="67"/>
      <c r="K7" s="69"/>
      <c r="L7" s="67"/>
      <c r="M7" s="68"/>
      <c r="N7" s="69"/>
    </row>
    <row r="8" spans="1:14" ht="16.5" thickBot="1" x14ac:dyDescent="0.3">
      <c r="A8" s="14"/>
      <c r="B8" s="4" t="s">
        <v>1</v>
      </c>
      <c r="C8" s="4" t="s">
        <v>2</v>
      </c>
      <c r="D8" s="4" t="s">
        <v>1</v>
      </c>
      <c r="E8" s="4" t="s">
        <v>2</v>
      </c>
      <c r="F8" s="4" t="s">
        <v>1</v>
      </c>
      <c r="G8" s="4" t="s">
        <v>2</v>
      </c>
      <c r="H8" s="4" t="s">
        <v>1</v>
      </c>
      <c r="I8" s="4" t="s">
        <v>2</v>
      </c>
      <c r="J8" s="4" t="s">
        <v>1</v>
      </c>
      <c r="K8" s="4" t="s">
        <v>2</v>
      </c>
      <c r="L8" s="4" t="s">
        <v>1</v>
      </c>
      <c r="M8" s="4" t="s">
        <v>2</v>
      </c>
      <c r="N8" s="4" t="s">
        <v>3</v>
      </c>
    </row>
    <row r="9" spans="1:14" ht="26.25" thickBot="1" x14ac:dyDescent="0.3">
      <c r="A9" s="5" t="s">
        <v>19</v>
      </c>
      <c r="B9" s="4" t="s">
        <v>22</v>
      </c>
      <c r="C9" s="4" t="s">
        <v>22</v>
      </c>
      <c r="D9" s="4" t="s">
        <v>22</v>
      </c>
      <c r="E9" s="4" t="s">
        <v>22</v>
      </c>
      <c r="F9" s="17">
        <f>94782567+73187981</f>
        <v>167970548</v>
      </c>
      <c r="G9" s="4" t="s">
        <v>22</v>
      </c>
      <c r="H9" s="17">
        <v>25642000</v>
      </c>
      <c r="I9" s="4" t="s">
        <v>22</v>
      </c>
      <c r="J9" s="4" t="s">
        <v>22</v>
      </c>
      <c r="K9" s="4" t="s">
        <v>22</v>
      </c>
      <c r="L9" s="4" t="s">
        <v>22</v>
      </c>
      <c r="M9" s="4" t="s">
        <v>22</v>
      </c>
      <c r="N9" s="4" t="s">
        <v>22</v>
      </c>
    </row>
    <row r="10" spans="1:14" ht="26.25" thickBot="1" x14ac:dyDescent="0.3">
      <c r="A10" s="5" t="s">
        <v>20</v>
      </c>
      <c r="B10" s="4"/>
      <c r="C10" s="4"/>
      <c r="D10" s="4"/>
      <c r="E10" s="4"/>
      <c r="F10" s="4"/>
      <c r="G10" s="4"/>
      <c r="H10" s="6"/>
      <c r="I10" s="4"/>
      <c r="J10" s="4"/>
      <c r="K10" s="17">
        <f>77187761+8889101+3647417+8490170+8780284</f>
        <v>106994733</v>
      </c>
      <c r="L10" s="4"/>
      <c r="M10" s="4"/>
      <c r="N10" s="4"/>
    </row>
    <row r="11" spans="1:14" ht="15.75" thickBot="1" x14ac:dyDescent="0.3">
      <c r="A11" s="5" t="s">
        <v>21</v>
      </c>
      <c r="B11" s="4" t="s">
        <v>22</v>
      </c>
      <c r="C11" s="4" t="s">
        <v>22</v>
      </c>
      <c r="D11" s="4" t="s">
        <v>22</v>
      </c>
      <c r="E11" s="7" t="s">
        <v>22</v>
      </c>
      <c r="F11" s="17">
        <v>27105254</v>
      </c>
      <c r="G11" s="4" t="s">
        <v>22</v>
      </c>
      <c r="H11" s="17">
        <v>1900000</v>
      </c>
      <c r="I11" s="4" t="s">
        <v>22</v>
      </c>
      <c r="J11" s="4" t="s">
        <v>22</v>
      </c>
      <c r="K11" s="4" t="s">
        <v>22</v>
      </c>
      <c r="L11" s="4" t="s">
        <v>22</v>
      </c>
      <c r="M11" s="4" t="s">
        <v>22</v>
      </c>
      <c r="N11" s="4" t="s">
        <v>22</v>
      </c>
    </row>
    <row r="12" spans="1:14" ht="15.75" thickBot="1" x14ac:dyDescent="0.3">
      <c r="A12" s="5" t="s">
        <v>23</v>
      </c>
      <c r="B12" s="17">
        <f>7265093+640544+305754+891613</f>
        <v>9103004</v>
      </c>
      <c r="C12" s="4"/>
      <c r="D12" s="17">
        <v>700000</v>
      </c>
      <c r="E12" s="7"/>
      <c r="F12" s="4"/>
      <c r="G12" s="4"/>
      <c r="H12" s="4"/>
      <c r="I12" s="4"/>
      <c r="J12" s="17"/>
      <c r="K12" s="4"/>
      <c r="L12" s="4"/>
      <c r="M12" s="4"/>
      <c r="N12" s="4"/>
    </row>
    <row r="13" spans="1:14" ht="39" thickBot="1" x14ac:dyDescent="0.3">
      <c r="A13" s="5" t="s">
        <v>24</v>
      </c>
      <c r="B13" s="4"/>
      <c r="C13" s="4"/>
      <c r="D13" s="4"/>
      <c r="E13" s="7"/>
      <c r="F13" s="4"/>
      <c r="G13" s="4"/>
      <c r="H13" s="4"/>
      <c r="I13" s="4"/>
      <c r="J13" s="4"/>
      <c r="K13" s="17">
        <f>27796609+3183899+1201426+3552460+3600122+1408999</f>
        <v>40743515</v>
      </c>
      <c r="L13" s="4"/>
      <c r="M13" s="4"/>
      <c r="N13" s="4"/>
    </row>
    <row r="14" spans="1:14" ht="15.75" thickBot="1" x14ac:dyDescent="0.3">
      <c r="A14" s="5" t="s">
        <v>25</v>
      </c>
      <c r="B14" s="4"/>
      <c r="C14" s="4"/>
      <c r="D14" s="4"/>
      <c r="E14" s="4"/>
      <c r="F14" s="17">
        <v>55301055</v>
      </c>
      <c r="G14" s="4"/>
      <c r="H14" s="17">
        <v>700000</v>
      </c>
      <c r="I14" s="4"/>
      <c r="J14" s="17">
        <v>765902</v>
      </c>
      <c r="K14" s="4"/>
      <c r="L14" s="4"/>
      <c r="M14" s="4"/>
      <c r="N14" s="4"/>
    </row>
    <row r="15" spans="1:14" ht="15.75" thickBot="1" x14ac:dyDescent="0.3">
      <c r="A15" s="5" t="s">
        <v>26</v>
      </c>
      <c r="B15" s="4"/>
      <c r="C15" s="4"/>
      <c r="D15" s="4"/>
      <c r="E15" s="4"/>
      <c r="F15" s="4"/>
      <c r="G15" s="4"/>
      <c r="H15" s="4"/>
      <c r="I15" s="4"/>
      <c r="J15" s="17">
        <f>60974575+4287424+939369+2348564+2062195</f>
        <v>70612127</v>
      </c>
      <c r="K15" s="4"/>
      <c r="L15" s="4"/>
      <c r="M15" s="4"/>
      <c r="N15" s="4"/>
    </row>
    <row r="16" spans="1:14" ht="77.25" thickBot="1" x14ac:dyDescent="0.3">
      <c r="A16" s="5" t="s">
        <v>27</v>
      </c>
      <c r="B16" s="4"/>
      <c r="C16" s="4"/>
      <c r="D16" s="4"/>
      <c r="E16" s="4"/>
      <c r="F16" s="4"/>
      <c r="G16" s="4"/>
      <c r="H16" s="4"/>
      <c r="I16" s="4"/>
      <c r="J16" s="4"/>
      <c r="K16" s="17">
        <f>42274229+4756885+2320050+3961468+5248491+4076507</f>
        <v>62637630</v>
      </c>
      <c r="L16" s="4"/>
      <c r="M16" s="4"/>
      <c r="N16" s="4"/>
    </row>
    <row r="17" spans="1:14" ht="26.25" thickBot="1" x14ac:dyDescent="0.3">
      <c r="A17" s="5" t="s">
        <v>28</v>
      </c>
      <c r="B17" s="4"/>
      <c r="C17" s="4"/>
      <c r="D17" s="4"/>
      <c r="E17" s="17">
        <v>500000</v>
      </c>
      <c r="F17" s="17">
        <v>17043223</v>
      </c>
      <c r="G17" s="4"/>
      <c r="H17" s="4"/>
      <c r="I17" s="4"/>
      <c r="J17" s="17">
        <f>941568+771122</f>
        <v>1712690</v>
      </c>
      <c r="K17" s="17">
        <f>2433825+1057422</f>
        <v>3491247</v>
      </c>
      <c r="L17" s="4"/>
      <c r="M17" s="4"/>
      <c r="N17" s="4"/>
    </row>
    <row r="18" spans="1:14" ht="15.75" thickBot="1" x14ac:dyDescent="0.3">
      <c r="A18" s="5" t="s">
        <v>4</v>
      </c>
      <c r="B18" s="17">
        <f>3103684+354516+74688+76380+2377508+503607</f>
        <v>6490383</v>
      </c>
      <c r="C18" s="4"/>
      <c r="D18" s="4"/>
      <c r="E18" s="17">
        <v>300000</v>
      </c>
      <c r="F18" s="4"/>
      <c r="G18" s="4"/>
      <c r="H18" s="4"/>
      <c r="I18" s="4"/>
      <c r="J18" s="4"/>
      <c r="K18" s="4"/>
      <c r="L18" s="4"/>
      <c r="M18" s="4"/>
      <c r="N18" s="4"/>
    </row>
    <row r="19" spans="1:14" ht="15.75" thickBot="1" x14ac:dyDescent="0.3">
      <c r="A19" s="5" t="s">
        <v>5</v>
      </c>
      <c r="B19" s="17">
        <f>15251502+167089+1365640+473203+1782270+1442130+2703903</f>
        <v>23185737</v>
      </c>
      <c r="C19" s="4"/>
      <c r="D19" s="4"/>
      <c r="E19" s="17">
        <v>150000</v>
      </c>
      <c r="F19" s="4"/>
      <c r="G19" s="4"/>
      <c r="H19" s="4"/>
      <c r="I19" s="4"/>
      <c r="J19" s="4"/>
      <c r="K19" s="4"/>
      <c r="L19" s="4"/>
      <c r="M19" s="4"/>
      <c r="N19" s="4"/>
    </row>
    <row r="20" spans="1:14" ht="115.5" thickBot="1" x14ac:dyDescent="0.3">
      <c r="A20" s="5" t="s">
        <v>31</v>
      </c>
      <c r="B20" s="4"/>
      <c r="C20" s="4"/>
      <c r="D20" s="4"/>
      <c r="E20" s="17">
        <v>330000</v>
      </c>
      <c r="F20" s="4"/>
      <c r="G20" s="4"/>
      <c r="H20" s="4"/>
      <c r="I20" s="4"/>
      <c r="J20" s="4"/>
      <c r="K20" s="17">
        <f>33885768+4163617+1804360+3588308+4685263+5650020</f>
        <v>53777336</v>
      </c>
      <c r="L20" s="4"/>
      <c r="M20" s="4"/>
      <c r="N20" s="4"/>
    </row>
    <row r="21" spans="1:14" ht="39" thickBot="1" x14ac:dyDescent="0.3">
      <c r="A21" s="8" t="s">
        <v>6</v>
      </c>
      <c r="B21" s="21">
        <f>B12+B18+B19</f>
        <v>38779124</v>
      </c>
      <c r="C21" s="4"/>
      <c r="D21" s="21">
        <f>D12</f>
        <v>700000</v>
      </c>
      <c r="E21" s="21">
        <f>E18+E19+E20+E17</f>
        <v>1280000</v>
      </c>
      <c r="F21" s="21">
        <f>F9+F11+F14+F17</f>
        <v>267420080</v>
      </c>
      <c r="G21" s="4"/>
      <c r="H21" s="21">
        <f>H9+H11+H14</f>
        <v>28242000</v>
      </c>
      <c r="I21" s="4"/>
      <c r="J21" s="21">
        <f>J12+J14+J15+J17</f>
        <v>73090719</v>
      </c>
      <c r="K21" s="21">
        <f>K10+K13+K16+K17+K20</f>
        <v>267644461</v>
      </c>
      <c r="L21" s="4"/>
      <c r="M21" s="4"/>
      <c r="N21" s="4"/>
    </row>
    <row r="22" spans="1:14" ht="15.75" thickBot="1" x14ac:dyDescent="0.3">
      <c r="A22" s="9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</row>
    <row r="23" spans="1:14" ht="15.75" thickBot="1" x14ac:dyDescent="0.3">
      <c r="A23" s="5" t="s">
        <v>32</v>
      </c>
      <c r="B23" s="4"/>
      <c r="C23" s="4"/>
      <c r="D23" s="4"/>
      <c r="E23" s="4"/>
      <c r="F23" s="17">
        <v>28412498</v>
      </c>
      <c r="G23" s="4"/>
      <c r="H23" s="4"/>
      <c r="I23" s="4"/>
      <c r="J23" s="17">
        <f>896703+181597</f>
        <v>1078300</v>
      </c>
      <c r="K23" s="17">
        <f>168028+1278556</f>
        <v>1446584</v>
      </c>
      <c r="L23" s="17">
        <v>782640</v>
      </c>
      <c r="M23" s="4"/>
      <c r="N23" s="4"/>
    </row>
    <row r="24" spans="1:14" ht="26.25" thickBot="1" x14ac:dyDescent="0.3">
      <c r="A24" s="8" t="s">
        <v>7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ht="15.75" thickBot="1" x14ac:dyDescent="0.3">
      <c r="A25" s="9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</row>
    <row r="26" spans="1:14" ht="15.75" thickBot="1" x14ac:dyDescent="0.3">
      <c r="A26" s="8" t="s">
        <v>29</v>
      </c>
      <c r="B26" s="4"/>
      <c r="C26" s="4"/>
      <c r="D26" s="4"/>
      <c r="E26" s="4"/>
      <c r="F26" s="4"/>
      <c r="G26" s="4"/>
      <c r="H26" s="4"/>
      <c r="I26" s="4"/>
      <c r="J26" s="4"/>
      <c r="K26" s="17">
        <f>1396480+635626+104649+1530833+207845+5247466</f>
        <v>9122899</v>
      </c>
      <c r="L26" s="4"/>
      <c r="M26" s="4"/>
      <c r="N26" s="4"/>
    </row>
    <row r="27" spans="1:14" ht="15.75" thickBot="1" x14ac:dyDescent="0.3">
      <c r="A27" s="9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</row>
    <row r="28" spans="1:14" ht="26.25" thickBot="1" x14ac:dyDescent="0.3">
      <c r="A28" s="5" t="s">
        <v>8</v>
      </c>
      <c r="B28" s="4"/>
      <c r="C28" s="4"/>
      <c r="D28" s="4"/>
      <c r="E28" s="4"/>
      <c r="F28" s="17">
        <v>73415622</v>
      </c>
      <c r="G28" s="4"/>
      <c r="H28" s="17">
        <v>550000</v>
      </c>
      <c r="I28" s="4"/>
      <c r="J28" s="4"/>
      <c r="K28" s="4"/>
      <c r="L28" s="4"/>
      <c r="M28" s="4"/>
      <c r="N28" s="4"/>
    </row>
    <row r="29" spans="1:14" ht="39" thickBot="1" x14ac:dyDescent="0.3">
      <c r="A29" s="8" t="s">
        <v>9</v>
      </c>
      <c r="B29" s="3"/>
      <c r="C29" s="3"/>
      <c r="D29" s="3"/>
      <c r="E29" s="3"/>
      <c r="F29" s="3"/>
      <c r="G29" s="3"/>
      <c r="H29" s="3"/>
      <c r="I29" s="3"/>
      <c r="J29" s="4"/>
      <c r="K29" s="4"/>
      <c r="L29" s="3"/>
      <c r="M29" s="3"/>
      <c r="N29" s="3"/>
    </row>
    <row r="30" spans="1:14" ht="15.75" thickBot="1" x14ac:dyDescent="0.3">
      <c r="A30" s="11"/>
      <c r="B30" s="12"/>
      <c r="C30" s="12"/>
      <c r="D30" s="12"/>
      <c r="E30" s="12"/>
      <c r="F30" s="12"/>
      <c r="G30" s="12"/>
      <c r="H30" s="12"/>
      <c r="I30" s="12"/>
      <c r="J30" s="10"/>
      <c r="K30" s="10"/>
      <c r="L30" s="12"/>
      <c r="M30" s="12"/>
      <c r="N30" s="12"/>
    </row>
    <row r="31" spans="1:14" ht="15.75" thickBot="1" x14ac:dyDescent="0.3">
      <c r="A31" s="8" t="s">
        <v>30</v>
      </c>
      <c r="B31" s="3"/>
      <c r="C31" s="3"/>
      <c r="D31" s="3"/>
      <c r="E31" s="3"/>
      <c r="F31" s="3"/>
      <c r="G31" s="3"/>
      <c r="H31" s="3"/>
      <c r="I31" s="3"/>
      <c r="J31" s="4"/>
      <c r="K31" s="17">
        <f>37271203+4973732+4225399+2127953+4079235+12792282</f>
        <v>65469804</v>
      </c>
      <c r="L31" s="3"/>
      <c r="M31" s="3"/>
      <c r="N31" s="3"/>
    </row>
    <row r="32" spans="1:14" ht="15.75" thickBot="1" x14ac:dyDescent="0.3">
      <c r="A32" s="9"/>
      <c r="B32" s="12"/>
      <c r="C32" s="12"/>
      <c r="D32" s="12"/>
      <c r="E32" s="12"/>
      <c r="F32" s="12"/>
      <c r="G32" s="12"/>
      <c r="H32" s="12"/>
      <c r="I32" s="12"/>
      <c r="J32" s="10"/>
      <c r="K32" s="10"/>
      <c r="L32" s="12"/>
      <c r="M32" s="12"/>
      <c r="N32" s="12"/>
    </row>
    <row r="33" spans="1:14" ht="15.75" thickBot="1" x14ac:dyDescent="0.3">
      <c r="A33" s="13" t="s">
        <v>10</v>
      </c>
      <c r="B33" s="24">
        <f>B21</f>
        <v>38779124</v>
      </c>
      <c r="C33" s="3"/>
      <c r="D33" s="27">
        <f>D21</f>
        <v>700000</v>
      </c>
      <c r="E33" s="24">
        <f>E21</f>
        <v>1280000</v>
      </c>
      <c r="F33" s="27">
        <f>F9+F11+F14+F17+F23+F28</f>
        <v>369248200</v>
      </c>
      <c r="G33" s="3"/>
      <c r="H33" s="24">
        <f>H21+H28</f>
        <v>28792000</v>
      </c>
      <c r="I33" s="3"/>
      <c r="J33" s="21">
        <f>J21+J23</f>
        <v>74169019</v>
      </c>
      <c r="K33" s="21">
        <f>K21+K23+K26</f>
        <v>278213944</v>
      </c>
      <c r="L33" s="21">
        <f>L23</f>
        <v>782640</v>
      </c>
      <c r="M33" s="3"/>
      <c r="N33" s="3"/>
    </row>
    <row r="34" spans="1:14" x14ac:dyDescent="0.25">
      <c r="A34" s="1"/>
      <c r="N34" s="26">
        <f>B33+E33+F33+H33+J33+K33+L33+D33</f>
        <v>791964927</v>
      </c>
    </row>
    <row r="35" spans="1:14" x14ac:dyDescent="0.25">
      <c r="A35" s="1" t="s">
        <v>37</v>
      </c>
    </row>
    <row r="36" spans="1:14" x14ac:dyDescent="0.25">
      <c r="A36" s="1" t="s">
        <v>38</v>
      </c>
    </row>
    <row r="37" spans="1:14" x14ac:dyDescent="0.25">
      <c r="A37" s="1" t="s">
        <v>39</v>
      </c>
    </row>
  </sheetData>
  <mergeCells count="18">
    <mergeCell ref="J5:K5"/>
    <mergeCell ref="L5:N5"/>
    <mergeCell ref="H6:I6"/>
    <mergeCell ref="A5:A7"/>
    <mergeCell ref="B5:C7"/>
    <mergeCell ref="D5:E7"/>
    <mergeCell ref="F5:G7"/>
    <mergeCell ref="H5:I5"/>
    <mergeCell ref="A2:A4"/>
    <mergeCell ref="B2:E4"/>
    <mergeCell ref="F2:I4"/>
    <mergeCell ref="J2:K4"/>
    <mergeCell ref="L2:N4"/>
    <mergeCell ref="J6:K6"/>
    <mergeCell ref="L6:N6"/>
    <mergeCell ref="H7:I7"/>
    <mergeCell ref="J7:K7"/>
    <mergeCell ref="L7:N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workbookViewId="0">
      <selection activeCell="K1" sqref="K1"/>
    </sheetView>
  </sheetViews>
  <sheetFormatPr defaultRowHeight="15" x14ac:dyDescent="0.25"/>
  <cols>
    <col min="1" max="1" width="15.85546875" customWidth="1"/>
    <col min="2" max="2" width="13.5703125" customWidth="1"/>
    <col min="5" max="5" width="14.28515625" customWidth="1"/>
    <col min="6" max="6" width="15.7109375" customWidth="1"/>
    <col min="8" max="8" width="14.28515625" customWidth="1"/>
    <col min="9" max="9" width="13.140625" customWidth="1"/>
    <col min="10" max="10" width="14.140625" customWidth="1"/>
    <col min="11" max="11" width="14.5703125" customWidth="1"/>
    <col min="12" max="12" width="12.85546875" customWidth="1"/>
    <col min="13" max="13" width="14.28515625" customWidth="1"/>
    <col min="14" max="14" width="15" customWidth="1"/>
  </cols>
  <sheetData>
    <row r="1" spans="1:14" ht="15.75" thickBot="1" x14ac:dyDescent="0.3">
      <c r="A1" s="2">
        <v>2012</v>
      </c>
    </row>
    <row r="2" spans="1:14" x14ac:dyDescent="0.25">
      <c r="A2" s="39"/>
      <c r="B2" s="42" t="s">
        <v>11</v>
      </c>
      <c r="C2" s="43"/>
      <c r="D2" s="43"/>
      <c r="E2" s="44"/>
      <c r="F2" s="42" t="s">
        <v>12</v>
      </c>
      <c r="G2" s="43"/>
      <c r="H2" s="43"/>
      <c r="I2" s="44"/>
      <c r="J2" s="42" t="s">
        <v>13</v>
      </c>
      <c r="K2" s="44"/>
      <c r="L2" s="42" t="s">
        <v>17</v>
      </c>
      <c r="M2" s="43"/>
      <c r="N2" s="44"/>
    </row>
    <row r="3" spans="1:14" x14ac:dyDescent="0.25">
      <c r="A3" s="40"/>
      <c r="B3" s="45"/>
      <c r="C3" s="46"/>
      <c r="D3" s="46"/>
      <c r="E3" s="47"/>
      <c r="F3" s="45"/>
      <c r="G3" s="46"/>
      <c r="H3" s="46"/>
      <c r="I3" s="47"/>
      <c r="J3" s="45"/>
      <c r="K3" s="47"/>
      <c r="L3" s="45"/>
      <c r="M3" s="46"/>
      <c r="N3" s="47"/>
    </row>
    <row r="4" spans="1:14" ht="15.75" thickBot="1" x14ac:dyDescent="0.3">
      <c r="A4" s="41"/>
      <c r="B4" s="48"/>
      <c r="C4" s="49"/>
      <c r="D4" s="49"/>
      <c r="E4" s="50"/>
      <c r="F4" s="48"/>
      <c r="G4" s="49"/>
      <c r="H4" s="49"/>
      <c r="I4" s="50"/>
      <c r="J4" s="45"/>
      <c r="K4" s="47"/>
      <c r="L4" s="45"/>
      <c r="M4" s="46"/>
      <c r="N4" s="47"/>
    </row>
    <row r="5" spans="1:14" x14ac:dyDescent="0.25">
      <c r="A5" s="40"/>
      <c r="B5" s="58" t="s">
        <v>33</v>
      </c>
      <c r="C5" s="59"/>
      <c r="D5" s="58" t="s">
        <v>14</v>
      </c>
      <c r="E5" s="59"/>
      <c r="F5" s="58" t="s">
        <v>18</v>
      </c>
      <c r="G5" s="59"/>
      <c r="H5" s="58" t="s">
        <v>0</v>
      </c>
      <c r="I5" s="59"/>
      <c r="J5" s="45"/>
      <c r="K5" s="47"/>
      <c r="L5" s="55"/>
      <c r="M5" s="56"/>
      <c r="N5" s="57"/>
    </row>
    <row r="6" spans="1:14" x14ac:dyDescent="0.25">
      <c r="A6" s="40"/>
      <c r="B6" s="58"/>
      <c r="C6" s="59"/>
      <c r="D6" s="58"/>
      <c r="E6" s="59"/>
      <c r="F6" s="58"/>
      <c r="G6" s="59"/>
      <c r="H6" s="58" t="s">
        <v>15</v>
      </c>
      <c r="I6" s="59"/>
      <c r="J6" s="55"/>
      <c r="K6" s="57"/>
      <c r="L6" s="55"/>
      <c r="M6" s="64"/>
      <c r="N6" s="57"/>
    </row>
    <row r="7" spans="1:14" ht="15.75" thickBot="1" x14ac:dyDescent="0.3">
      <c r="A7" s="41"/>
      <c r="B7" s="60"/>
      <c r="C7" s="61"/>
      <c r="D7" s="60"/>
      <c r="E7" s="61"/>
      <c r="F7" s="60"/>
      <c r="G7" s="61"/>
      <c r="H7" s="60" t="s">
        <v>16</v>
      </c>
      <c r="I7" s="61"/>
      <c r="J7" s="67"/>
      <c r="K7" s="69"/>
      <c r="L7" s="67"/>
      <c r="M7" s="68"/>
      <c r="N7" s="69"/>
    </row>
    <row r="8" spans="1:14" ht="16.5" thickBot="1" x14ac:dyDescent="0.3">
      <c r="A8" s="14"/>
      <c r="B8" s="4" t="s">
        <v>1</v>
      </c>
      <c r="C8" s="4" t="s">
        <v>2</v>
      </c>
      <c r="D8" s="4" t="s">
        <v>1</v>
      </c>
      <c r="E8" s="4" t="s">
        <v>2</v>
      </c>
      <c r="F8" s="4" t="s">
        <v>1</v>
      </c>
      <c r="G8" s="4" t="s">
        <v>2</v>
      </c>
      <c r="H8" s="4" t="s">
        <v>1</v>
      </c>
      <c r="I8" s="4" t="s">
        <v>2</v>
      </c>
      <c r="J8" s="4" t="s">
        <v>1</v>
      </c>
      <c r="K8" s="4" t="s">
        <v>2</v>
      </c>
      <c r="L8" s="4" t="s">
        <v>1</v>
      </c>
      <c r="M8" s="4" t="s">
        <v>2</v>
      </c>
      <c r="N8" s="4" t="s">
        <v>3</v>
      </c>
    </row>
    <row r="9" spans="1:14" ht="26.25" thickBot="1" x14ac:dyDescent="0.3">
      <c r="A9" s="5" t="s">
        <v>19</v>
      </c>
      <c r="B9" s="17" t="s">
        <v>22</v>
      </c>
      <c r="C9" s="17" t="s">
        <v>22</v>
      </c>
      <c r="D9" s="4" t="s">
        <v>22</v>
      </c>
      <c r="E9" s="17" t="s">
        <v>22</v>
      </c>
      <c r="F9" s="17">
        <v>158402031</v>
      </c>
      <c r="G9" s="4" t="s">
        <v>22</v>
      </c>
      <c r="H9" s="17">
        <v>24149489</v>
      </c>
      <c r="I9" s="4" t="s">
        <v>22</v>
      </c>
      <c r="J9" s="17" t="s">
        <v>22</v>
      </c>
      <c r="K9" s="17" t="s">
        <v>22</v>
      </c>
      <c r="L9" s="17" t="s">
        <v>22</v>
      </c>
      <c r="M9" s="4" t="s">
        <v>22</v>
      </c>
      <c r="N9" s="4" t="s">
        <v>22</v>
      </c>
    </row>
    <row r="10" spans="1:14" ht="26.25" thickBot="1" x14ac:dyDescent="0.3">
      <c r="A10" s="5" t="s">
        <v>20</v>
      </c>
      <c r="B10" s="17"/>
      <c r="C10" s="17"/>
      <c r="D10" s="4"/>
      <c r="E10" s="17"/>
      <c r="F10" s="17"/>
      <c r="G10" s="4"/>
      <c r="H10" s="17"/>
      <c r="I10" s="4"/>
      <c r="J10" s="17"/>
      <c r="K10" s="17">
        <f>70592366+7735294+3382635+8242842+7675644</f>
        <v>97628781</v>
      </c>
      <c r="L10" s="17"/>
      <c r="M10" s="4"/>
      <c r="N10" s="4"/>
    </row>
    <row r="11" spans="1:14" ht="15.75" thickBot="1" x14ac:dyDescent="0.3">
      <c r="A11" s="5" t="s">
        <v>21</v>
      </c>
      <c r="B11" s="17" t="s">
        <v>22</v>
      </c>
      <c r="C11" s="17" t="s">
        <v>22</v>
      </c>
      <c r="D11" s="4" t="s">
        <v>22</v>
      </c>
      <c r="E11" s="17" t="s">
        <v>22</v>
      </c>
      <c r="F11" s="17">
        <v>28712648</v>
      </c>
      <c r="G11" s="4" t="s">
        <v>22</v>
      </c>
      <c r="H11" s="17">
        <v>1859523</v>
      </c>
      <c r="I11" s="4" t="s">
        <v>22</v>
      </c>
      <c r="J11" s="17" t="s">
        <v>22</v>
      </c>
      <c r="K11" s="17" t="s">
        <v>22</v>
      </c>
      <c r="L11" s="17" t="s">
        <v>22</v>
      </c>
      <c r="M11" s="4" t="s">
        <v>22</v>
      </c>
      <c r="N11" s="4" t="s">
        <v>22</v>
      </c>
    </row>
    <row r="12" spans="1:14" ht="15.75" thickBot="1" x14ac:dyDescent="0.3">
      <c r="A12" s="5" t="s">
        <v>23</v>
      </c>
      <c r="B12" s="17">
        <f>6652362+377695+706804+1568004</f>
        <v>9304865</v>
      </c>
      <c r="C12" s="17"/>
      <c r="D12" s="4"/>
      <c r="E12" s="17"/>
      <c r="F12" s="17"/>
      <c r="G12" s="4"/>
      <c r="H12" s="17"/>
      <c r="I12" s="4"/>
      <c r="J12" s="17"/>
      <c r="K12" s="17"/>
      <c r="L12" s="17"/>
      <c r="M12" s="4"/>
      <c r="N12" s="4"/>
    </row>
    <row r="13" spans="1:14" ht="39" thickBot="1" x14ac:dyDescent="0.3">
      <c r="A13" s="5" t="s">
        <v>24</v>
      </c>
      <c r="B13" s="17"/>
      <c r="C13" s="17"/>
      <c r="D13" s="4"/>
      <c r="E13" s="17"/>
      <c r="F13" s="17"/>
      <c r="G13" s="4"/>
      <c r="H13" s="17"/>
      <c r="I13" s="4"/>
      <c r="J13" s="17"/>
      <c r="K13" s="17">
        <f>23340643+3071355+1350499+2668480+1568003</f>
        <v>31998980</v>
      </c>
      <c r="L13" s="17"/>
      <c r="M13" s="4"/>
      <c r="N13" s="4"/>
    </row>
    <row r="14" spans="1:14" ht="15.75" thickBot="1" x14ac:dyDescent="0.3">
      <c r="A14" s="5" t="s">
        <v>25</v>
      </c>
      <c r="B14" s="17"/>
      <c r="C14" s="17"/>
      <c r="D14" s="4"/>
      <c r="E14" s="17"/>
      <c r="F14" s="17">
        <v>67806361</v>
      </c>
      <c r="G14" s="4"/>
      <c r="H14" s="17"/>
      <c r="I14" s="4"/>
      <c r="J14" s="17"/>
      <c r="K14" s="17"/>
      <c r="L14" s="17"/>
      <c r="M14" s="4"/>
      <c r="N14" s="4"/>
    </row>
    <row r="15" spans="1:14" ht="15.75" thickBot="1" x14ac:dyDescent="0.3">
      <c r="A15" s="5" t="s">
        <v>26</v>
      </c>
      <c r="B15" s="17"/>
      <c r="C15" s="17"/>
      <c r="D15" s="4"/>
      <c r="E15" s="17"/>
      <c r="F15" s="17"/>
      <c r="G15" s="4"/>
      <c r="H15" s="17"/>
      <c r="I15" s="4"/>
      <c r="J15" s="17">
        <f>49291105+101659+3601089+2214513</f>
        <v>55208366</v>
      </c>
      <c r="K15" s="17"/>
      <c r="L15" s="17"/>
      <c r="M15" s="4"/>
      <c r="N15" s="4"/>
    </row>
    <row r="16" spans="1:14" ht="77.25" thickBot="1" x14ac:dyDescent="0.3">
      <c r="A16" s="5" t="s">
        <v>27</v>
      </c>
      <c r="B16" s="17"/>
      <c r="C16" s="17"/>
      <c r="D16" s="4"/>
      <c r="E16" s="17"/>
      <c r="F16" s="17"/>
      <c r="G16" s="4"/>
      <c r="H16" s="17"/>
      <c r="I16" s="4"/>
      <c r="J16" s="17"/>
      <c r="K16" s="17">
        <f>38921311+4640324+2097101+4349840+3396802</f>
        <v>53405378</v>
      </c>
      <c r="L16" s="17"/>
      <c r="M16" s="4"/>
      <c r="N16" s="4"/>
    </row>
    <row r="17" spans="1:14" ht="26.25" thickBot="1" x14ac:dyDescent="0.3">
      <c r="A17" s="5" t="s">
        <v>28</v>
      </c>
      <c r="B17" s="17"/>
      <c r="C17" s="17"/>
      <c r="D17" s="4"/>
      <c r="E17" s="17"/>
      <c r="F17" s="17">
        <v>17262809</v>
      </c>
      <c r="G17" s="4"/>
      <c r="H17" s="17"/>
      <c r="I17" s="4"/>
      <c r="J17" s="17">
        <f>375528+858215+1210225</f>
        <v>2443968</v>
      </c>
      <c r="K17" s="17">
        <f>1100549+192977</f>
        <v>1293526</v>
      </c>
      <c r="L17" s="17"/>
      <c r="M17" s="4"/>
      <c r="N17" s="4"/>
    </row>
    <row r="18" spans="1:14" ht="15.75" thickBot="1" x14ac:dyDescent="0.3">
      <c r="A18" s="5" t="s">
        <v>4</v>
      </c>
      <c r="B18" s="17">
        <f>2456109+384244+69104+292475+70785+2302707</f>
        <v>5575424</v>
      </c>
      <c r="C18" s="17"/>
      <c r="D18" s="4"/>
      <c r="E18" s="17">
        <v>300000</v>
      </c>
      <c r="F18" s="17"/>
      <c r="G18" s="4"/>
      <c r="H18" s="17"/>
      <c r="I18" s="4"/>
      <c r="J18" s="17"/>
      <c r="K18" s="17"/>
      <c r="L18" s="17"/>
      <c r="M18" s="4"/>
      <c r="N18" s="4"/>
    </row>
    <row r="19" spans="1:14" ht="15.75" thickBot="1" x14ac:dyDescent="0.3">
      <c r="A19" s="5" t="s">
        <v>5</v>
      </c>
      <c r="B19" s="17">
        <f>13542007+1409321+442910+115751+1269005+1652658</f>
        <v>18431652</v>
      </c>
      <c r="C19" s="17"/>
      <c r="D19" s="4"/>
      <c r="E19" s="17">
        <v>150000</v>
      </c>
      <c r="F19" s="17"/>
      <c r="G19" s="4"/>
      <c r="H19" s="17"/>
      <c r="I19" s="4"/>
      <c r="J19" s="17"/>
      <c r="K19" s="17"/>
      <c r="L19" s="17"/>
      <c r="M19" s="4"/>
      <c r="N19" s="4"/>
    </row>
    <row r="20" spans="1:14" ht="115.5" thickBot="1" x14ac:dyDescent="0.3">
      <c r="A20" s="5" t="s">
        <v>31</v>
      </c>
      <c r="B20" s="17"/>
      <c r="C20" s="17"/>
      <c r="D20" s="4"/>
      <c r="E20" s="17">
        <v>321000</v>
      </c>
      <c r="F20" s="17"/>
      <c r="G20" s="4"/>
      <c r="H20" s="17"/>
      <c r="I20" s="4"/>
      <c r="J20" s="17"/>
      <c r="K20" s="17">
        <f>32376821+4469789+1983089+4219844+284534+1514281+1682292+3949443</f>
        <v>50480093</v>
      </c>
      <c r="L20" s="17"/>
      <c r="M20" s="4"/>
      <c r="N20" s="4"/>
    </row>
    <row r="21" spans="1:14" ht="39" thickBot="1" x14ac:dyDescent="0.3">
      <c r="A21" s="8" t="s">
        <v>6</v>
      </c>
      <c r="B21" s="28">
        <f>SUM(B9:B20)</f>
        <v>33311941</v>
      </c>
      <c r="C21" s="28"/>
      <c r="D21" s="29"/>
      <c r="E21" s="28">
        <f>SUM(E9:E20)</f>
        <v>771000</v>
      </c>
      <c r="F21" s="28">
        <f>SUM(F9:F20)</f>
        <v>272183849</v>
      </c>
      <c r="G21" s="29"/>
      <c r="H21" s="28">
        <f>SUM(H9:H20)</f>
        <v>26009012</v>
      </c>
      <c r="I21" s="29"/>
      <c r="J21" s="28">
        <f>SUM(J9:J20)</f>
        <v>57652334</v>
      </c>
      <c r="K21" s="28">
        <f>SUM(K9:K20)</f>
        <v>234806758</v>
      </c>
      <c r="L21" s="28"/>
      <c r="M21" s="29"/>
      <c r="N21" s="29"/>
    </row>
    <row r="22" spans="1:14" ht="15.75" thickBot="1" x14ac:dyDescent="0.3">
      <c r="A22" s="9"/>
      <c r="B22" s="10"/>
      <c r="C22" s="10"/>
      <c r="D22" s="10"/>
      <c r="E22" s="18"/>
      <c r="F22" s="18"/>
      <c r="G22" s="10"/>
      <c r="H22" s="18"/>
      <c r="I22" s="10"/>
      <c r="J22" s="10"/>
      <c r="K22" s="10"/>
      <c r="L22" s="18"/>
      <c r="M22" s="10"/>
      <c r="N22" s="10"/>
    </row>
    <row r="23" spans="1:14" ht="26.25" thickBot="1" x14ac:dyDescent="0.3">
      <c r="A23" s="5" t="s">
        <v>40</v>
      </c>
      <c r="B23" s="4"/>
      <c r="C23" s="4"/>
      <c r="D23" s="4"/>
      <c r="E23" s="17"/>
      <c r="F23" s="17">
        <v>24788742</v>
      </c>
      <c r="G23" s="4"/>
      <c r="H23" s="17"/>
      <c r="I23" s="4"/>
      <c r="J23" s="17">
        <f>156033+773338+993199</f>
        <v>1922570</v>
      </c>
      <c r="K23" s="17">
        <f>1267972+153829</f>
        <v>1421801</v>
      </c>
      <c r="L23" s="17">
        <v>732525</v>
      </c>
      <c r="M23" s="4"/>
      <c r="N23" s="4"/>
    </row>
    <row r="24" spans="1:14" ht="26.25" thickBot="1" x14ac:dyDescent="0.3">
      <c r="A24" s="8" t="s">
        <v>7</v>
      </c>
      <c r="B24" s="29"/>
      <c r="C24" s="29"/>
      <c r="D24" s="29"/>
      <c r="E24" s="28"/>
      <c r="F24" s="28">
        <f>SUM(F23)</f>
        <v>24788742</v>
      </c>
      <c r="G24" s="29"/>
      <c r="H24" s="28"/>
      <c r="I24" s="29"/>
      <c r="J24" s="28">
        <f>SUM(J23)</f>
        <v>1922570</v>
      </c>
      <c r="K24" s="28">
        <f>SUM(K23)</f>
        <v>1421801</v>
      </c>
      <c r="L24" s="28"/>
      <c r="M24" s="29"/>
      <c r="N24" s="29"/>
    </row>
    <row r="25" spans="1:14" ht="15.75" thickBot="1" x14ac:dyDescent="0.3">
      <c r="A25" s="9"/>
      <c r="B25" s="10"/>
      <c r="C25" s="10"/>
      <c r="D25" s="10"/>
      <c r="E25" s="18"/>
      <c r="F25" s="18"/>
      <c r="G25" s="10"/>
      <c r="H25" s="18"/>
      <c r="I25" s="10"/>
      <c r="J25" s="10"/>
      <c r="K25" s="10"/>
      <c r="L25" s="18"/>
      <c r="M25" s="10"/>
      <c r="N25" s="10"/>
    </row>
    <row r="26" spans="1:14" ht="15.75" thickBot="1" x14ac:dyDescent="0.3">
      <c r="A26" s="8" t="s">
        <v>29</v>
      </c>
      <c r="B26" s="4"/>
      <c r="C26" s="4"/>
      <c r="D26" s="4"/>
      <c r="E26" s="17"/>
      <c r="F26" s="17"/>
      <c r="G26" s="4"/>
      <c r="H26" s="17"/>
      <c r="I26" s="4"/>
      <c r="J26" s="4"/>
      <c r="K26" s="28">
        <f>1482064+239812+108680+571478+1120224</f>
        <v>3522258</v>
      </c>
      <c r="L26" s="17"/>
      <c r="M26" s="4"/>
      <c r="N26" s="4"/>
    </row>
    <row r="27" spans="1:14" ht="15.75" thickBot="1" x14ac:dyDescent="0.3">
      <c r="A27" s="9"/>
      <c r="B27" s="10"/>
      <c r="C27" s="10"/>
      <c r="D27" s="10"/>
      <c r="E27" s="18"/>
      <c r="F27" s="18"/>
      <c r="G27" s="10"/>
      <c r="H27" s="18"/>
      <c r="I27" s="10"/>
      <c r="J27" s="10"/>
      <c r="K27" s="10"/>
      <c r="L27" s="18"/>
      <c r="M27" s="10"/>
      <c r="N27" s="10"/>
    </row>
    <row r="28" spans="1:14" ht="26.25" thickBot="1" x14ac:dyDescent="0.3">
      <c r="A28" s="5" t="s">
        <v>8</v>
      </c>
      <c r="B28" s="4"/>
      <c r="C28" s="4"/>
      <c r="D28" s="4"/>
      <c r="E28" s="17"/>
      <c r="F28" s="17">
        <v>62251456</v>
      </c>
      <c r="G28" s="4"/>
      <c r="H28" s="17">
        <v>547804</v>
      </c>
      <c r="I28" s="4"/>
      <c r="J28" s="4"/>
      <c r="K28" s="4"/>
      <c r="L28" s="17"/>
      <c r="M28" s="4"/>
      <c r="N28" s="4"/>
    </row>
    <row r="29" spans="1:14" ht="39" thickBot="1" x14ac:dyDescent="0.3">
      <c r="A29" s="8" t="s">
        <v>9</v>
      </c>
      <c r="B29" s="30"/>
      <c r="C29" s="30"/>
      <c r="D29" s="30"/>
      <c r="E29" s="31"/>
      <c r="F29" s="31">
        <f>SUM(F28)</f>
        <v>62251456</v>
      </c>
      <c r="G29" s="30"/>
      <c r="H29" s="31">
        <f>SUM(H28)</f>
        <v>547804</v>
      </c>
      <c r="I29" s="30"/>
      <c r="J29" s="29"/>
      <c r="K29" s="29"/>
      <c r="L29" s="31"/>
      <c r="M29" s="30"/>
      <c r="N29" s="30"/>
    </row>
    <row r="30" spans="1:14" ht="15.75" thickBot="1" x14ac:dyDescent="0.3">
      <c r="A30" s="11"/>
      <c r="B30" s="12"/>
      <c r="C30" s="12"/>
      <c r="D30" s="12"/>
      <c r="E30" s="32"/>
      <c r="F30" s="32"/>
      <c r="G30" s="12"/>
      <c r="H30" s="32"/>
      <c r="I30" s="12"/>
      <c r="J30" s="10"/>
      <c r="K30" s="10"/>
      <c r="L30" s="32"/>
      <c r="M30" s="12"/>
      <c r="N30" s="12"/>
    </row>
    <row r="31" spans="1:14" ht="15.75" thickBot="1" x14ac:dyDescent="0.3">
      <c r="A31" s="8" t="s">
        <v>30</v>
      </c>
      <c r="B31" s="3"/>
      <c r="C31" s="3"/>
      <c r="D31" s="3"/>
      <c r="E31" s="27"/>
      <c r="F31" s="27"/>
      <c r="G31" s="3"/>
      <c r="H31" s="27"/>
      <c r="I31" s="3"/>
      <c r="J31" s="4"/>
      <c r="K31" s="28">
        <f>30705470+3740634+18098+4183087+4523420+1826676</f>
        <v>44997385</v>
      </c>
      <c r="L31" s="27"/>
      <c r="M31" s="3"/>
      <c r="N31" s="3"/>
    </row>
    <row r="32" spans="1:14" ht="15.75" thickBot="1" x14ac:dyDescent="0.3">
      <c r="A32" s="9"/>
      <c r="B32" s="12"/>
      <c r="C32" s="12"/>
      <c r="D32" s="12"/>
      <c r="E32" s="32"/>
      <c r="F32" s="32"/>
      <c r="G32" s="12"/>
      <c r="H32" s="32"/>
      <c r="I32" s="12"/>
      <c r="J32" s="10"/>
      <c r="K32" s="10"/>
      <c r="L32" s="32"/>
      <c r="M32" s="12"/>
      <c r="N32" s="12"/>
    </row>
    <row r="33" spans="1:14" ht="15.75" thickBot="1" x14ac:dyDescent="0.3">
      <c r="A33" s="13" t="s">
        <v>10</v>
      </c>
      <c r="B33" s="33">
        <f>B21+B24+B26+B29+B31</f>
        <v>33311941</v>
      </c>
      <c r="C33" s="30"/>
      <c r="D33" s="30"/>
      <c r="E33" s="33">
        <f>E21+E24+E26+E29+E31</f>
        <v>771000</v>
      </c>
      <c r="F33" s="33">
        <f>F21+F24+F26+F29+F31</f>
        <v>359224047</v>
      </c>
      <c r="G33" s="30"/>
      <c r="H33" s="33">
        <f>H21+H24+H26+H29+H31</f>
        <v>26556816</v>
      </c>
      <c r="I33" s="30"/>
      <c r="J33" s="33">
        <f>J21+J24+J26+J29+J31</f>
        <v>59574904</v>
      </c>
      <c r="K33" s="33">
        <f>K21+K24+K26+K29+K31</f>
        <v>284748202</v>
      </c>
      <c r="L33" s="28">
        <f>SUM(L9:L32)</f>
        <v>732525</v>
      </c>
      <c r="M33" s="30"/>
      <c r="N33" s="30"/>
    </row>
    <row r="34" spans="1:14" x14ac:dyDescent="0.25">
      <c r="A34" s="1"/>
    </row>
    <row r="35" spans="1:14" x14ac:dyDescent="0.25">
      <c r="A35" s="1"/>
      <c r="M35" s="26">
        <f>B33+E33+F33+H33+J33+K33+L33</f>
        <v>764919435</v>
      </c>
    </row>
  </sheetData>
  <mergeCells count="18">
    <mergeCell ref="J5:K5"/>
    <mergeCell ref="L5:N5"/>
    <mergeCell ref="H6:I6"/>
    <mergeCell ref="A5:A7"/>
    <mergeCell ref="B5:C7"/>
    <mergeCell ref="D5:E7"/>
    <mergeCell ref="F5:G7"/>
    <mergeCell ref="H5:I5"/>
    <mergeCell ref="A2:A4"/>
    <mergeCell ref="B2:E4"/>
    <mergeCell ref="F2:I4"/>
    <mergeCell ref="J2:K4"/>
    <mergeCell ref="L2:N4"/>
    <mergeCell ref="J6:K6"/>
    <mergeCell ref="L6:N6"/>
    <mergeCell ref="H7:I7"/>
    <mergeCell ref="J7:K7"/>
    <mergeCell ref="L7:N7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opLeftCell="A13" workbookViewId="0">
      <selection activeCell="N16" sqref="N15:N16"/>
    </sheetView>
  </sheetViews>
  <sheetFormatPr defaultRowHeight="15" x14ac:dyDescent="0.25"/>
  <cols>
    <col min="1" max="1" width="15.5703125" customWidth="1"/>
    <col min="2" max="2" width="14" customWidth="1"/>
    <col min="5" max="5" width="15" customWidth="1"/>
    <col min="6" max="6" width="15.5703125" customWidth="1"/>
    <col min="8" max="8" width="13.28515625" customWidth="1"/>
    <col min="10" max="10" width="12.7109375" customWidth="1"/>
    <col min="11" max="11" width="16.42578125" customWidth="1"/>
    <col min="12" max="12" width="14" customWidth="1"/>
    <col min="13" max="13" width="15" customWidth="1"/>
  </cols>
  <sheetData>
    <row r="1" spans="1:14" ht="15.75" thickBot="1" x14ac:dyDescent="0.3">
      <c r="A1" s="34">
        <v>2011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x14ac:dyDescent="0.25">
      <c r="A2" s="76"/>
      <c r="B2" s="42" t="s">
        <v>11</v>
      </c>
      <c r="C2" s="43"/>
      <c r="D2" s="43"/>
      <c r="E2" s="44"/>
      <c r="F2" s="42" t="s">
        <v>12</v>
      </c>
      <c r="G2" s="43"/>
      <c r="H2" s="43"/>
      <c r="I2" s="44"/>
      <c r="J2" s="42" t="s">
        <v>13</v>
      </c>
      <c r="K2" s="44"/>
      <c r="L2" s="42" t="s">
        <v>17</v>
      </c>
      <c r="M2" s="43"/>
      <c r="N2" s="44"/>
    </row>
    <row r="3" spans="1:14" x14ac:dyDescent="0.25">
      <c r="A3" s="77"/>
      <c r="B3" s="45"/>
      <c r="C3" s="46"/>
      <c r="D3" s="46"/>
      <c r="E3" s="47"/>
      <c r="F3" s="45"/>
      <c r="G3" s="46"/>
      <c r="H3" s="46"/>
      <c r="I3" s="47"/>
      <c r="J3" s="45"/>
      <c r="K3" s="47"/>
      <c r="L3" s="45"/>
      <c r="M3" s="46"/>
      <c r="N3" s="47"/>
    </row>
    <row r="4" spans="1:14" ht="15.75" thickBot="1" x14ac:dyDescent="0.3">
      <c r="A4" s="78"/>
      <c r="B4" s="48"/>
      <c r="C4" s="49"/>
      <c r="D4" s="49"/>
      <c r="E4" s="50"/>
      <c r="F4" s="48"/>
      <c r="G4" s="49"/>
      <c r="H4" s="49"/>
      <c r="I4" s="50"/>
      <c r="J4" s="45"/>
      <c r="K4" s="47"/>
      <c r="L4" s="45"/>
      <c r="M4" s="46"/>
      <c r="N4" s="47"/>
    </row>
    <row r="5" spans="1:14" x14ac:dyDescent="0.25">
      <c r="A5" s="77"/>
      <c r="B5" s="58" t="s">
        <v>33</v>
      </c>
      <c r="C5" s="59"/>
      <c r="D5" s="58" t="s">
        <v>14</v>
      </c>
      <c r="E5" s="59"/>
      <c r="F5" s="58" t="s">
        <v>18</v>
      </c>
      <c r="G5" s="59"/>
      <c r="H5" s="58" t="s">
        <v>0</v>
      </c>
      <c r="I5" s="59"/>
      <c r="J5" s="45"/>
      <c r="K5" s="47"/>
      <c r="L5" s="70"/>
      <c r="M5" s="79"/>
      <c r="N5" s="71"/>
    </row>
    <row r="6" spans="1:14" x14ac:dyDescent="0.25">
      <c r="A6" s="77"/>
      <c r="B6" s="58"/>
      <c r="C6" s="59"/>
      <c r="D6" s="58"/>
      <c r="E6" s="59"/>
      <c r="F6" s="58"/>
      <c r="G6" s="59"/>
      <c r="H6" s="58" t="s">
        <v>15</v>
      </c>
      <c r="I6" s="59"/>
      <c r="J6" s="70"/>
      <c r="K6" s="71"/>
      <c r="L6" s="70"/>
      <c r="M6" s="72"/>
      <c r="N6" s="71"/>
    </row>
    <row r="7" spans="1:14" ht="15.75" thickBot="1" x14ac:dyDescent="0.3">
      <c r="A7" s="78"/>
      <c r="B7" s="60"/>
      <c r="C7" s="61"/>
      <c r="D7" s="60"/>
      <c r="E7" s="61"/>
      <c r="F7" s="60"/>
      <c r="G7" s="61"/>
      <c r="H7" s="60" t="s">
        <v>16</v>
      </c>
      <c r="I7" s="61"/>
      <c r="J7" s="73"/>
      <c r="K7" s="74"/>
      <c r="L7" s="73"/>
      <c r="M7" s="75"/>
      <c r="N7" s="74"/>
    </row>
    <row r="8" spans="1:14" ht="15.75" thickBot="1" x14ac:dyDescent="0.3">
      <c r="A8" s="36"/>
      <c r="B8" s="4" t="s">
        <v>1</v>
      </c>
      <c r="C8" s="4" t="s">
        <v>2</v>
      </c>
      <c r="D8" s="4" t="s">
        <v>1</v>
      </c>
      <c r="E8" s="4" t="s">
        <v>2</v>
      </c>
      <c r="F8" s="4" t="s">
        <v>1</v>
      </c>
      <c r="G8" s="4" t="s">
        <v>2</v>
      </c>
      <c r="H8" s="4" t="s">
        <v>1</v>
      </c>
      <c r="I8" s="4" t="s">
        <v>2</v>
      </c>
      <c r="J8" s="4" t="s">
        <v>1</v>
      </c>
      <c r="K8" s="4" t="s">
        <v>2</v>
      </c>
      <c r="L8" s="4" t="s">
        <v>1</v>
      </c>
      <c r="M8" s="4" t="s">
        <v>2</v>
      </c>
      <c r="N8" s="4" t="s">
        <v>3</v>
      </c>
    </row>
    <row r="9" spans="1:14" ht="26.25" thickBot="1" x14ac:dyDescent="0.3">
      <c r="A9" s="5" t="s">
        <v>19</v>
      </c>
      <c r="B9" s="17" t="s">
        <v>22</v>
      </c>
      <c r="C9" s="17" t="s">
        <v>22</v>
      </c>
      <c r="D9" s="4" t="s">
        <v>22</v>
      </c>
      <c r="E9" s="17" t="s">
        <v>22</v>
      </c>
      <c r="F9" s="17">
        <v>189252488</v>
      </c>
      <c r="G9" s="4" t="s">
        <v>22</v>
      </c>
      <c r="H9" s="17">
        <v>23088551</v>
      </c>
      <c r="I9" s="4" t="s">
        <v>22</v>
      </c>
      <c r="J9" s="17" t="s">
        <v>22</v>
      </c>
      <c r="K9" s="17" t="s">
        <v>22</v>
      </c>
      <c r="L9" s="4" t="s">
        <v>22</v>
      </c>
      <c r="M9" s="4" t="s">
        <v>22</v>
      </c>
      <c r="N9" s="4" t="s">
        <v>22</v>
      </c>
    </row>
    <row r="10" spans="1:14" ht="26.25" thickBot="1" x14ac:dyDescent="0.3">
      <c r="A10" s="5" t="s">
        <v>20</v>
      </c>
      <c r="B10" s="17"/>
      <c r="C10" s="17"/>
      <c r="D10" s="4"/>
      <c r="E10" s="17"/>
      <c r="F10" s="17"/>
      <c r="G10" s="4"/>
      <c r="H10" s="17"/>
      <c r="I10" s="4"/>
      <c r="J10" s="17"/>
      <c r="K10" s="17">
        <f>7173404+59323977+2660490+7980000+7037038</f>
        <v>84174909</v>
      </c>
      <c r="L10" s="4"/>
      <c r="M10" s="4"/>
      <c r="N10" s="4"/>
    </row>
    <row r="11" spans="1:14" ht="15.75" thickBot="1" x14ac:dyDescent="0.3">
      <c r="A11" s="5" t="s">
        <v>21</v>
      </c>
      <c r="B11" s="17" t="s">
        <v>22</v>
      </c>
      <c r="C11" s="17" t="s">
        <v>22</v>
      </c>
      <c r="D11" s="4" t="s">
        <v>22</v>
      </c>
      <c r="E11" s="17" t="s">
        <v>22</v>
      </c>
      <c r="F11" s="17">
        <v>25563787</v>
      </c>
      <c r="G11" s="4" t="s">
        <v>22</v>
      </c>
      <c r="H11" s="17">
        <v>1921796</v>
      </c>
      <c r="I11" s="4" t="s">
        <v>22</v>
      </c>
      <c r="J11" s="17" t="s">
        <v>22</v>
      </c>
      <c r="K11" s="17" t="s">
        <v>22</v>
      </c>
      <c r="L11" s="4" t="s">
        <v>22</v>
      </c>
      <c r="M11" s="4" t="s">
        <v>22</v>
      </c>
      <c r="N11" s="4" t="s">
        <v>22</v>
      </c>
    </row>
    <row r="12" spans="1:14" ht="15.75" thickBot="1" x14ac:dyDescent="0.3">
      <c r="A12" s="5" t="s">
        <v>23</v>
      </c>
      <c r="B12" s="17">
        <f>817739+7964415+251982+1153609</f>
        <v>10187745</v>
      </c>
      <c r="C12" s="17"/>
      <c r="D12" s="4"/>
      <c r="E12" s="17"/>
      <c r="F12" s="17"/>
      <c r="G12" s="4"/>
      <c r="H12" s="17"/>
      <c r="I12" s="4"/>
      <c r="J12" s="17"/>
      <c r="K12" s="17"/>
      <c r="L12" s="4"/>
      <c r="M12" s="4"/>
      <c r="N12" s="4"/>
    </row>
    <row r="13" spans="1:14" ht="39" thickBot="1" x14ac:dyDescent="0.3">
      <c r="A13" s="5" t="s">
        <v>24</v>
      </c>
      <c r="B13" s="17"/>
      <c r="C13" s="17"/>
      <c r="D13" s="4"/>
      <c r="E13" s="17"/>
      <c r="F13" s="17"/>
      <c r="G13" s="4"/>
      <c r="H13" s="17"/>
      <c r="I13" s="4"/>
      <c r="J13" s="17"/>
      <c r="K13" s="17">
        <f>785102+2229092+19471242+2137321+1153609</f>
        <v>25776366</v>
      </c>
      <c r="L13" s="4"/>
      <c r="M13" s="4"/>
      <c r="N13" s="4"/>
    </row>
    <row r="14" spans="1:14" ht="15.75" thickBot="1" x14ac:dyDescent="0.3">
      <c r="A14" s="5" t="s">
        <v>25</v>
      </c>
      <c r="B14" s="17"/>
      <c r="C14" s="17"/>
      <c r="D14" s="4"/>
      <c r="E14" s="17"/>
      <c r="F14" s="17">
        <v>88257413</v>
      </c>
      <c r="G14" s="4"/>
      <c r="H14" s="17"/>
      <c r="I14" s="4"/>
      <c r="J14" s="17"/>
      <c r="K14" s="17"/>
      <c r="L14" s="4"/>
      <c r="M14" s="4"/>
      <c r="N14" s="4"/>
    </row>
    <row r="15" spans="1:14" ht="15.75" thickBot="1" x14ac:dyDescent="0.3">
      <c r="A15" s="5" t="s">
        <v>26</v>
      </c>
      <c r="B15" s="17"/>
      <c r="C15" s="17"/>
      <c r="D15" s="4"/>
      <c r="E15" s="17"/>
      <c r="F15" s="17"/>
      <c r="G15" s="4"/>
      <c r="H15" s="17"/>
      <c r="I15" s="4"/>
      <c r="J15" s="17">
        <f>104082+3253817+43601658+2112778</f>
        <v>49072335</v>
      </c>
      <c r="K15" s="17"/>
      <c r="L15" s="4"/>
      <c r="M15" s="4"/>
      <c r="N15" s="4"/>
    </row>
    <row r="16" spans="1:14" ht="77.25" thickBot="1" x14ac:dyDescent="0.3">
      <c r="A16" s="5" t="s">
        <v>27</v>
      </c>
      <c r="B16" s="17"/>
      <c r="C16" s="17"/>
      <c r="D16" s="4"/>
      <c r="E16" s="17"/>
      <c r="F16" s="17"/>
      <c r="G16" s="4"/>
      <c r="H16" s="17"/>
      <c r="I16" s="4"/>
      <c r="J16" s="17"/>
      <c r="K16" s="17">
        <f>1933355+4230511+36099137+3171625+3084890</f>
        <v>48519518</v>
      </c>
      <c r="L16" s="4"/>
      <c r="M16" s="4"/>
      <c r="N16" s="4"/>
    </row>
    <row r="17" spans="1:14" ht="26.25" thickBot="1" x14ac:dyDescent="0.3">
      <c r="A17" s="5" t="s">
        <v>28</v>
      </c>
      <c r="B17" s="17"/>
      <c r="C17" s="17"/>
      <c r="D17" s="4"/>
      <c r="E17" s="17"/>
      <c r="F17" s="17">
        <v>14430382</v>
      </c>
      <c r="G17" s="4"/>
      <c r="H17" s="17">
        <v>120000</v>
      </c>
      <c r="I17" s="4"/>
      <c r="J17" s="17">
        <f>361186+758034+764300</f>
        <v>1883520</v>
      </c>
      <c r="K17" s="17">
        <f>116723+758050</f>
        <v>874773</v>
      </c>
      <c r="L17" s="4"/>
      <c r="M17" s="4"/>
      <c r="N17" s="4"/>
    </row>
    <row r="18" spans="1:14" ht="15.75" thickBot="1" x14ac:dyDescent="0.3">
      <c r="A18" s="5" t="s">
        <v>4</v>
      </c>
      <c r="B18" s="17">
        <f>75487+267322+59495+2339202+424441+2278548</f>
        <v>5444495</v>
      </c>
      <c r="C18" s="17"/>
      <c r="D18" s="4"/>
      <c r="E18" s="17">
        <v>240000</v>
      </c>
      <c r="F18" s="17"/>
      <c r="G18" s="4"/>
      <c r="H18" s="17"/>
      <c r="I18" s="4"/>
      <c r="J18" s="17"/>
      <c r="K18" s="17"/>
      <c r="L18" s="4"/>
      <c r="M18" s="4"/>
      <c r="N18" s="4"/>
    </row>
    <row r="19" spans="1:14" ht="15.75" thickBot="1" x14ac:dyDescent="0.3">
      <c r="A19" s="5" t="s">
        <v>5</v>
      </c>
      <c r="B19" s="17">
        <f>356767+79864+1196548+14015997+1316778+1507503</f>
        <v>18473457</v>
      </c>
      <c r="C19" s="17"/>
      <c r="D19" s="4"/>
      <c r="E19" s="17">
        <v>120000</v>
      </c>
      <c r="F19" s="17"/>
      <c r="G19" s="4"/>
      <c r="H19" s="17"/>
      <c r="I19" s="4"/>
      <c r="J19" s="17"/>
      <c r="K19" s="17"/>
      <c r="L19" s="4"/>
      <c r="M19" s="4"/>
      <c r="N19" s="4"/>
    </row>
    <row r="20" spans="1:14" ht="115.5" thickBot="1" x14ac:dyDescent="0.3">
      <c r="A20" s="5" t="s">
        <v>31</v>
      </c>
      <c r="B20" s="17"/>
      <c r="C20" s="17"/>
      <c r="D20" s="4"/>
      <c r="E20" s="17"/>
      <c r="F20" s="17"/>
      <c r="G20" s="4"/>
      <c r="H20" s="17"/>
      <c r="I20" s="4"/>
      <c r="J20" s="17"/>
      <c r="K20" s="17">
        <f>1668615+3544071+34869709+5584270+96644+1283562+1561910+38839+328265</f>
        <v>48975885</v>
      </c>
      <c r="L20" s="4"/>
      <c r="M20" s="4"/>
      <c r="N20" s="4"/>
    </row>
    <row r="21" spans="1:14" ht="39" thickBot="1" x14ac:dyDescent="0.3">
      <c r="A21" s="8" t="s">
        <v>6</v>
      </c>
      <c r="B21" s="28">
        <f>SUM(B9:B20)</f>
        <v>34105697</v>
      </c>
      <c r="C21" s="28"/>
      <c r="D21" s="29"/>
      <c r="E21" s="28">
        <f>SUM(E9:E20)</f>
        <v>360000</v>
      </c>
      <c r="F21" s="28">
        <f>SUM(F9:F20)</f>
        <v>317504070</v>
      </c>
      <c r="G21" s="29"/>
      <c r="H21" s="28">
        <f>SUM(H9:H20)</f>
        <v>25130347</v>
      </c>
      <c r="I21" s="29"/>
      <c r="J21" s="28">
        <f>SUM(J9:J20)</f>
        <v>50955855</v>
      </c>
      <c r="K21" s="28">
        <f>SUM(K9:K20)</f>
        <v>208321451</v>
      </c>
      <c r="L21" s="29"/>
      <c r="M21" s="29"/>
      <c r="N21" s="29"/>
    </row>
    <row r="22" spans="1:14" ht="15.75" thickBot="1" x14ac:dyDescent="0.3">
      <c r="A22" s="9"/>
      <c r="B22" s="10"/>
      <c r="C22" s="10"/>
      <c r="D22" s="10"/>
      <c r="E22" s="18"/>
      <c r="F22" s="18"/>
      <c r="G22" s="10"/>
      <c r="H22" s="18"/>
      <c r="I22" s="10"/>
      <c r="J22" s="10"/>
      <c r="K22" s="10"/>
      <c r="L22" s="10"/>
      <c r="M22" s="10"/>
      <c r="N22" s="10"/>
    </row>
    <row r="23" spans="1:14" ht="64.5" thickBot="1" x14ac:dyDescent="0.3">
      <c r="A23" s="5" t="s">
        <v>40</v>
      </c>
      <c r="B23" s="4"/>
      <c r="C23" s="4"/>
      <c r="D23" s="4"/>
      <c r="E23" s="17"/>
      <c r="F23" s="17">
        <v>18775061</v>
      </c>
      <c r="G23" s="4"/>
      <c r="H23" s="17">
        <v>409000</v>
      </c>
      <c r="I23" s="4"/>
      <c r="J23" s="17">
        <f>821146+120215+1027466</f>
        <v>1968827</v>
      </c>
      <c r="K23" s="17">
        <f>155875+1523462</f>
        <v>1679337</v>
      </c>
      <c r="L23" s="17">
        <v>671175</v>
      </c>
      <c r="M23" s="4"/>
      <c r="N23" s="4"/>
    </row>
    <row r="24" spans="1:14" ht="39" thickBot="1" x14ac:dyDescent="0.3">
      <c r="A24" s="8" t="s">
        <v>7</v>
      </c>
      <c r="B24" s="29"/>
      <c r="C24" s="29"/>
      <c r="D24" s="29"/>
      <c r="E24" s="28"/>
      <c r="F24" s="28">
        <f>SUM(F23)</f>
        <v>18775061</v>
      </c>
      <c r="G24" s="29"/>
      <c r="H24" s="28">
        <f>SUM(H23)</f>
        <v>409000</v>
      </c>
      <c r="I24" s="29"/>
      <c r="J24" s="28">
        <f>SUM(J23)</f>
        <v>1968827</v>
      </c>
      <c r="K24" s="28">
        <f>SUM(K23)</f>
        <v>1679337</v>
      </c>
      <c r="L24" s="29"/>
      <c r="M24" s="29"/>
      <c r="N24" s="29"/>
    </row>
    <row r="25" spans="1:14" ht="15.75" thickBot="1" x14ac:dyDescent="0.3">
      <c r="A25" s="9"/>
      <c r="B25" s="10"/>
      <c r="C25" s="10"/>
      <c r="D25" s="10"/>
      <c r="E25" s="18"/>
      <c r="F25" s="18"/>
      <c r="G25" s="10"/>
      <c r="H25" s="18"/>
      <c r="I25" s="10"/>
      <c r="J25" s="10"/>
      <c r="K25" s="10"/>
      <c r="L25" s="10"/>
      <c r="M25" s="10"/>
      <c r="N25" s="10"/>
    </row>
    <row r="26" spans="1:14" ht="15.75" thickBot="1" x14ac:dyDescent="0.3">
      <c r="A26" s="8" t="s">
        <v>29</v>
      </c>
      <c r="B26" s="4"/>
      <c r="C26" s="4"/>
      <c r="D26" s="4"/>
      <c r="E26" s="17"/>
      <c r="F26" s="17"/>
      <c r="G26" s="4"/>
      <c r="H26" s="17"/>
      <c r="I26" s="4"/>
      <c r="J26" s="4"/>
      <c r="K26" s="28">
        <f>456854+97338+967681+162097+1024877</f>
        <v>2708847</v>
      </c>
      <c r="L26" s="4"/>
      <c r="M26" s="4"/>
      <c r="N26" s="4"/>
    </row>
    <row r="27" spans="1:14" ht="15.75" thickBot="1" x14ac:dyDescent="0.3">
      <c r="A27" s="9"/>
      <c r="B27" s="10"/>
      <c r="C27" s="10"/>
      <c r="D27" s="10"/>
      <c r="E27" s="18"/>
      <c r="F27" s="18"/>
      <c r="G27" s="10"/>
      <c r="H27" s="18"/>
      <c r="I27" s="10"/>
      <c r="J27" s="10"/>
      <c r="K27" s="10"/>
      <c r="L27" s="10"/>
      <c r="M27" s="10"/>
      <c r="N27" s="10"/>
    </row>
    <row r="28" spans="1:14" ht="26.25" thickBot="1" x14ac:dyDescent="0.3">
      <c r="A28" s="5" t="s">
        <v>8</v>
      </c>
      <c r="B28" s="4"/>
      <c r="C28" s="4"/>
      <c r="D28" s="4"/>
      <c r="E28" s="17"/>
      <c r="F28" s="17">
        <v>74827725</v>
      </c>
      <c r="G28" s="4"/>
      <c r="H28" s="17">
        <v>547000</v>
      </c>
      <c r="I28" s="4"/>
      <c r="J28" s="4"/>
      <c r="K28" s="4"/>
      <c r="L28" s="4"/>
      <c r="M28" s="4"/>
      <c r="N28" s="4"/>
    </row>
    <row r="29" spans="1:14" ht="39" thickBot="1" x14ac:dyDescent="0.3">
      <c r="A29" s="8" t="s">
        <v>9</v>
      </c>
      <c r="B29" s="30"/>
      <c r="C29" s="30"/>
      <c r="D29" s="30"/>
      <c r="E29" s="31"/>
      <c r="F29" s="31">
        <f>SUM(F28)</f>
        <v>74827725</v>
      </c>
      <c r="G29" s="30"/>
      <c r="H29" s="31">
        <f>SUM(H28)</f>
        <v>547000</v>
      </c>
      <c r="I29" s="30"/>
      <c r="J29" s="29"/>
      <c r="K29" s="29"/>
      <c r="L29" s="30"/>
      <c r="M29" s="30"/>
      <c r="N29" s="30"/>
    </row>
    <row r="30" spans="1:14" ht="15.75" thickBot="1" x14ac:dyDescent="0.3">
      <c r="A30" s="11"/>
      <c r="B30" s="12"/>
      <c r="C30" s="12"/>
      <c r="D30" s="12"/>
      <c r="E30" s="32"/>
      <c r="F30" s="32"/>
      <c r="G30" s="12"/>
      <c r="H30" s="32"/>
      <c r="I30" s="12"/>
      <c r="J30" s="10"/>
      <c r="K30" s="10"/>
      <c r="L30" s="12"/>
      <c r="M30" s="12"/>
      <c r="N30" s="12"/>
    </row>
    <row r="31" spans="1:14" ht="15.75" thickBot="1" x14ac:dyDescent="0.3">
      <c r="A31" s="8" t="s">
        <v>30</v>
      </c>
      <c r="B31" s="30"/>
      <c r="C31" s="30"/>
      <c r="D31" s="30"/>
      <c r="E31" s="31"/>
      <c r="F31" s="31"/>
      <c r="G31" s="30"/>
      <c r="H31" s="31"/>
      <c r="I31" s="30"/>
      <c r="J31" s="29"/>
      <c r="K31" s="28">
        <f>4103166+3985063+31462958+2903248+10362+1689897</f>
        <v>44154694</v>
      </c>
      <c r="L31" s="30"/>
      <c r="M31" s="30"/>
      <c r="N31" s="30"/>
    </row>
    <row r="32" spans="1:14" ht="15.75" thickBot="1" x14ac:dyDescent="0.3">
      <c r="A32" s="9"/>
      <c r="B32" s="12"/>
      <c r="C32" s="12"/>
      <c r="D32" s="12"/>
      <c r="E32" s="32"/>
      <c r="F32" s="32"/>
      <c r="G32" s="12"/>
      <c r="H32" s="32"/>
      <c r="I32" s="12"/>
      <c r="J32" s="10"/>
      <c r="K32" s="10"/>
      <c r="L32" s="12"/>
      <c r="M32" s="12"/>
      <c r="N32" s="12"/>
    </row>
    <row r="33" spans="1:14" ht="15.75" thickBot="1" x14ac:dyDescent="0.3">
      <c r="A33" s="13" t="s">
        <v>10</v>
      </c>
      <c r="B33" s="31">
        <f>B21+B24+B26+B29+B31</f>
        <v>34105697</v>
      </c>
      <c r="C33" s="30"/>
      <c r="D33" s="30"/>
      <c r="E33" s="31">
        <f>E21+E24+E26+E29+E31</f>
        <v>360000</v>
      </c>
      <c r="F33" s="31">
        <f>F21+F24+F26+F29+F31</f>
        <v>411106856</v>
      </c>
      <c r="G33" s="30"/>
      <c r="H33" s="31">
        <f>H21+H24+H26+H29+H31</f>
        <v>26086347</v>
      </c>
      <c r="I33" s="30"/>
      <c r="J33" s="31">
        <f>J21+J24+J26+J29+J31</f>
        <v>52924682</v>
      </c>
      <c r="K33" s="31">
        <f>K21+K24+K26+K29+K31</f>
        <v>256864329</v>
      </c>
      <c r="L33" s="33">
        <f>SUM(L23:L32)</f>
        <v>671175</v>
      </c>
      <c r="M33" s="30"/>
      <c r="N33" s="30"/>
    </row>
    <row r="34" spans="1:14" x14ac:dyDescent="0.25">
      <c r="A34" s="37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</row>
    <row r="35" spans="1:14" x14ac:dyDescent="0.25">
      <c r="A35" s="37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8">
        <f>B33+E33+F33+H33+J33+K33+L33</f>
        <v>782119086</v>
      </c>
      <c r="N35" s="35"/>
    </row>
    <row r="36" spans="1:14" x14ac:dyDescent="0.25">
      <c r="A36" s="37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</row>
  </sheetData>
  <mergeCells count="18">
    <mergeCell ref="J5:K5"/>
    <mergeCell ref="L5:N5"/>
    <mergeCell ref="H6:I6"/>
    <mergeCell ref="A5:A7"/>
    <mergeCell ref="B5:C7"/>
    <mergeCell ref="D5:E7"/>
    <mergeCell ref="F5:G7"/>
    <mergeCell ref="H5:I5"/>
    <mergeCell ref="A2:A4"/>
    <mergeCell ref="B2:E4"/>
    <mergeCell ref="F2:I4"/>
    <mergeCell ref="J2:K4"/>
    <mergeCell ref="L2:N4"/>
    <mergeCell ref="J6:K6"/>
    <mergeCell ref="L6:N6"/>
    <mergeCell ref="H7:I7"/>
    <mergeCell ref="J7:K7"/>
    <mergeCell ref="L7:N7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39" sqref="D39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2014</vt:lpstr>
      <vt:lpstr>2013</vt:lpstr>
      <vt:lpstr>2012</vt:lpstr>
      <vt:lpstr>2011</vt:lpstr>
      <vt:lpstr>Sheet1</vt:lpstr>
    </vt:vector>
  </TitlesOfParts>
  <Company>AGO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Courtney Aladro</dc:creator>
  <cp:lastModifiedBy>ANF</cp:lastModifiedBy>
  <cp:lastPrinted>2015-09-08T18:31:55Z</cp:lastPrinted>
  <dcterms:created xsi:type="dcterms:W3CDTF">2013-08-09T13:32:19Z</dcterms:created>
  <dcterms:modified xsi:type="dcterms:W3CDTF">2015-09-14T19:40:23Z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