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DPU-Share/DPU_Shared/24-15 Energy Burden NOI/STAFF/AR/"/>
    </mc:Choice>
  </mc:AlternateContent>
  <xr:revisionPtr revIDLastSave="0" documentId="8_{62AED555-1272-4B26-B415-8014E64DA2FD}" xr6:coauthVersionLast="47" xr6:coauthVersionMax="47" xr10:uidLastSave="{00000000-0000-0000-0000-000000000000}"/>
  <bookViews>
    <workbookView xWindow="28680" yWindow="-120" windowWidth="29040" windowHeight="15720" activeTab="2" xr2:uid="{9C48624E-FB78-4D0D-93A6-62F662FAB9CD}"/>
  </bookViews>
  <sheets>
    <sheet name="FPL Limits" sheetId="3" r:id="rId1"/>
    <sheet name="Assumptions" sheetId="24" r:id="rId2"/>
    <sheet name="SUMMARY" sheetId="25" r:id="rId3"/>
    <sheet name="NSTAR Electric R2" sheetId="2" r:id="rId4"/>
    <sheet name="FGE Electric R2" sheetId="11" r:id="rId5"/>
    <sheet name="NGrid Meco Electric R2" sheetId="18" r:id="rId6"/>
    <sheet name="NSTAR Gas H R4" sheetId="4" r:id="rId7"/>
    <sheet name="NSTAR Gas NH R2" sheetId="6" r:id="rId8"/>
    <sheet name="EGMA Gas H R4" sheetId="7" r:id="rId9"/>
    <sheet name="EGMA Gas NH R2" sheetId="8" r:id="rId10"/>
    <sheet name="BGC H R4" sheetId="9" r:id="rId11"/>
    <sheet name="BGC NH R2" sheetId="10" r:id="rId12"/>
    <sheet name="FGE Gas H R4" sheetId="12" r:id="rId13"/>
    <sheet name="FGE Gas NH R2" sheetId="13" r:id="rId14"/>
    <sheet name="LIB NEG H R4" sheetId="14" r:id="rId15"/>
    <sheet name="LIB NEG NH R2" sheetId="15" r:id="rId16"/>
    <sheet name="NGrid Gas BG H R4" sheetId="19" r:id="rId17"/>
    <sheet name="NGrid Gas BG NH R2" sheetId="20" r:id="rId18"/>
    <sheet name="NGrid Gas CG H R4" sheetId="21" r:id="rId19"/>
    <sheet name="NGrid Gas CG NH R2" sheetId="22" r:id="rId20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SUMMARY!$B$1:$L$51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" l="1"/>
  <c r="J14" i="4" s="1"/>
  <c r="O14" i="2"/>
  <c r="O20" i="2" s="1"/>
  <c r="F10" i="25" s="1"/>
  <c r="N14" i="2"/>
  <c r="N20" i="2" s="1"/>
  <c r="O15" i="2"/>
  <c r="B14" i="7"/>
  <c r="C32" i="22"/>
  <c r="B32" i="22"/>
  <c r="C32" i="21"/>
  <c r="B32" i="21"/>
  <c r="C32" i="20"/>
  <c r="B32" i="20"/>
  <c r="C32" i="19"/>
  <c r="B32" i="19"/>
  <c r="C32" i="15"/>
  <c r="B32" i="15"/>
  <c r="C32" i="14"/>
  <c r="B32" i="14"/>
  <c r="C32" i="13"/>
  <c r="B32" i="13"/>
  <c r="C32" i="12"/>
  <c r="B32" i="12"/>
  <c r="C32" i="10"/>
  <c r="B32" i="10"/>
  <c r="C32" i="9"/>
  <c r="B32" i="9"/>
  <c r="C32" i="8"/>
  <c r="B32" i="8"/>
  <c r="B32" i="7"/>
  <c r="C32" i="7"/>
  <c r="C32" i="6"/>
  <c r="B32" i="6"/>
  <c r="C32" i="4"/>
  <c r="B32" i="4"/>
  <c r="D32" i="18"/>
  <c r="C32" i="18"/>
  <c r="B32" i="18"/>
  <c r="D32" i="2"/>
  <c r="C32" i="2"/>
  <c r="B32" i="2"/>
  <c r="D32" i="11"/>
  <c r="C32" i="11"/>
  <c r="B32" i="11"/>
  <c r="B31" i="11"/>
  <c r="B36" i="2"/>
  <c r="C31" i="7"/>
  <c r="C30" i="7"/>
  <c r="C5" i="2"/>
  <c r="D26" i="24"/>
  <c r="B19" i="22"/>
  <c r="G9" i="3"/>
  <c r="F9" i="3"/>
  <c r="E9" i="3"/>
  <c r="D9" i="3"/>
  <c r="C9" i="3"/>
  <c r="B9" i="3"/>
  <c r="K9" i="3"/>
  <c r="G5" i="3"/>
  <c r="F5" i="3"/>
  <c r="E5" i="3"/>
  <c r="D5" i="3"/>
  <c r="C5" i="3"/>
  <c r="B5" i="3"/>
  <c r="K5" i="3"/>
  <c r="B7" i="3"/>
  <c r="K7" i="3"/>
  <c r="G7" i="3"/>
  <c r="F7" i="3"/>
  <c r="E7" i="3"/>
  <c r="D7" i="3"/>
  <c r="C7" i="3"/>
  <c r="B15" i="21"/>
  <c r="B16" i="21"/>
  <c r="B17" i="21"/>
  <c r="B18" i="21"/>
  <c r="B19" i="21"/>
  <c r="B14" i="21"/>
  <c r="C26" i="24"/>
  <c r="C25" i="24"/>
  <c r="B14" i="19"/>
  <c r="C5" i="22"/>
  <c r="C5" i="21"/>
  <c r="C5" i="20"/>
  <c r="C5" i="19"/>
  <c r="C5" i="18"/>
  <c r="C5" i="15"/>
  <c r="C5" i="14"/>
  <c r="C5" i="13"/>
  <c r="C5" i="12"/>
  <c r="C5" i="11"/>
  <c r="C5" i="10"/>
  <c r="C5" i="9"/>
  <c r="C5" i="8"/>
  <c r="C5" i="7"/>
  <c r="B6" i="21"/>
  <c r="B6" i="19"/>
  <c r="B6" i="14"/>
  <c r="B6" i="12"/>
  <c r="B6" i="9"/>
  <c r="B6" i="7"/>
  <c r="B6" i="4"/>
  <c r="B5" i="21"/>
  <c r="B5" i="19"/>
  <c r="B5" i="14"/>
  <c r="B5" i="12"/>
  <c r="B5" i="9"/>
  <c r="B5" i="7"/>
  <c r="B5" i="4"/>
  <c r="B6" i="22"/>
  <c r="B5" i="22"/>
  <c r="B6" i="20"/>
  <c r="B5" i="20"/>
  <c r="B5" i="15"/>
  <c r="B6" i="15"/>
  <c r="B6" i="13"/>
  <c r="B5" i="13"/>
  <c r="B6" i="10"/>
  <c r="B5" i="10"/>
  <c r="B6" i="8"/>
  <c r="B5" i="8"/>
  <c r="B5" i="6"/>
  <c r="B6" i="6"/>
  <c r="C5" i="6"/>
  <c r="C5" i="4"/>
  <c r="B7" i="6"/>
  <c r="B7" i="8"/>
  <c r="B7" i="10"/>
  <c r="B7" i="13"/>
  <c r="B7" i="15"/>
  <c r="B7" i="20"/>
  <c r="B7" i="22"/>
  <c r="B7" i="21"/>
  <c r="B7" i="19"/>
  <c r="B7" i="14"/>
  <c r="B7" i="12"/>
  <c r="B7" i="9"/>
  <c r="B7" i="7"/>
  <c r="B7" i="4"/>
  <c r="B6" i="18"/>
  <c r="B6" i="11"/>
  <c r="B6" i="2"/>
  <c r="N5" i="3"/>
  <c r="P9" i="3"/>
  <c r="B18" i="22"/>
  <c r="B15" i="22"/>
  <c r="B16" i="22"/>
  <c r="B17" i="22"/>
  <c r="D25" i="24"/>
  <c r="B14" i="22"/>
  <c r="P7" i="3"/>
  <c r="O5" i="3"/>
  <c r="L7" i="3"/>
  <c r="L5" i="3"/>
  <c r="N9" i="3"/>
  <c r="M7" i="3"/>
  <c r="M5" i="3"/>
  <c r="O9" i="3"/>
  <c r="L9" i="3"/>
  <c r="M9" i="3"/>
  <c r="P5" i="3"/>
  <c r="F14" i="2"/>
  <c r="F15" i="2"/>
  <c r="N7" i="3"/>
  <c r="O7" i="3"/>
  <c r="B5" i="2"/>
  <c r="B5" i="18"/>
  <c r="B5" i="11"/>
  <c r="B4" i="22"/>
  <c r="B4" i="21"/>
  <c r="B4" i="20"/>
  <c r="B4" i="19"/>
  <c r="B4" i="18"/>
  <c r="B4" i="15"/>
  <c r="B4" i="14"/>
  <c r="B4" i="13"/>
  <c r="B4" i="12"/>
  <c r="B4" i="11"/>
  <c r="B4" i="10"/>
  <c r="B4" i="9"/>
  <c r="B4" i="8"/>
  <c r="B4" i="7"/>
  <c r="B4" i="6"/>
  <c r="B4" i="4"/>
  <c r="B4" i="2"/>
  <c r="C36" i="22"/>
  <c r="C31" i="22"/>
  <c r="B31" i="22"/>
  <c r="B30" i="22"/>
  <c r="B36" i="22"/>
  <c r="C30" i="22"/>
  <c r="C31" i="21"/>
  <c r="B31" i="21"/>
  <c r="C31" i="20"/>
  <c r="B31" i="20"/>
  <c r="C31" i="19"/>
  <c r="B31" i="19"/>
  <c r="B31" i="18"/>
  <c r="C31" i="18"/>
  <c r="B31" i="15"/>
  <c r="C31" i="15"/>
  <c r="J25" i="25"/>
  <c r="C31" i="14"/>
  <c r="B31" i="14"/>
  <c r="C31" i="13"/>
  <c r="B31" i="13"/>
  <c r="C31" i="12"/>
  <c r="B31" i="12"/>
  <c r="C31" i="11"/>
  <c r="B31" i="10"/>
  <c r="C31" i="10"/>
  <c r="C31" i="9"/>
  <c r="B31" i="9"/>
  <c r="B31" i="8"/>
  <c r="C31" i="8"/>
  <c r="C31" i="6"/>
  <c r="B31" i="6"/>
  <c r="C36" i="7"/>
  <c r="B31" i="7"/>
  <c r="B30" i="7"/>
  <c r="B36" i="7"/>
  <c r="B30" i="6"/>
  <c r="B36" i="6"/>
  <c r="C30" i="6"/>
  <c r="C31" i="4"/>
  <c r="C30" i="4"/>
  <c r="C36" i="4"/>
  <c r="B31" i="4"/>
  <c r="B30" i="4"/>
  <c r="C36" i="6"/>
  <c r="J17" i="25"/>
  <c r="J18" i="25"/>
  <c r="B36" i="4"/>
  <c r="J16" i="25"/>
  <c r="B30" i="9"/>
  <c r="B15" i="9"/>
  <c r="B16" i="9"/>
  <c r="B17" i="9"/>
  <c r="B18" i="9"/>
  <c r="B19" i="9"/>
  <c r="B14" i="9"/>
  <c r="B14" i="2"/>
  <c r="B15" i="2"/>
  <c r="B16" i="2"/>
  <c r="F16" i="2"/>
  <c r="B17" i="2"/>
  <c r="F17" i="2"/>
  <c r="B18" i="2"/>
  <c r="F18" i="2"/>
  <c r="B19" i="2"/>
  <c r="F19" i="2"/>
  <c r="D26" i="2"/>
  <c r="D27" i="2"/>
  <c r="B28" i="2"/>
  <c r="C28" i="2"/>
  <c r="D29" i="2"/>
  <c r="B36" i="9"/>
  <c r="J32" i="25"/>
  <c r="C31" i="2"/>
  <c r="C30" i="2"/>
  <c r="C36" i="2"/>
  <c r="B31" i="2"/>
  <c r="B30" i="2"/>
  <c r="D28" i="2"/>
  <c r="D31" i="2"/>
  <c r="D30" i="2"/>
  <c r="D36" i="2"/>
  <c r="J10" i="25"/>
  <c r="C30" i="21"/>
  <c r="B30" i="21"/>
  <c r="C30" i="20"/>
  <c r="B30" i="20"/>
  <c r="C30" i="19"/>
  <c r="B30" i="19"/>
  <c r="C30" i="18"/>
  <c r="B30" i="18"/>
  <c r="C30" i="15"/>
  <c r="B30" i="15"/>
  <c r="C30" i="14"/>
  <c r="B30" i="14"/>
  <c r="C30" i="13"/>
  <c r="B30" i="13"/>
  <c r="C30" i="12"/>
  <c r="B30" i="12"/>
  <c r="C30" i="11"/>
  <c r="B30" i="11"/>
  <c r="C30" i="10"/>
  <c r="B30" i="10"/>
  <c r="C30" i="9"/>
  <c r="C30" i="8"/>
  <c r="B30" i="8"/>
  <c r="B15" i="20"/>
  <c r="B16" i="20"/>
  <c r="B17" i="20"/>
  <c r="B18" i="20"/>
  <c r="B19" i="20"/>
  <c r="B14" i="20"/>
  <c r="B15" i="19"/>
  <c r="B16" i="19"/>
  <c r="B17" i="19"/>
  <c r="B18" i="19"/>
  <c r="B19" i="19"/>
  <c r="B14" i="18"/>
  <c r="B15" i="15"/>
  <c r="B16" i="15"/>
  <c r="B17" i="15"/>
  <c r="B18" i="15"/>
  <c r="B19" i="15"/>
  <c r="B14" i="15"/>
  <c r="B14" i="14"/>
  <c r="B15" i="14"/>
  <c r="B16" i="14"/>
  <c r="B17" i="14"/>
  <c r="B18" i="14"/>
  <c r="B19" i="14"/>
  <c r="B15" i="13"/>
  <c r="B16" i="13"/>
  <c r="B17" i="13"/>
  <c r="B18" i="13"/>
  <c r="B19" i="13"/>
  <c r="B14" i="13"/>
  <c r="B15" i="10"/>
  <c r="B16" i="10"/>
  <c r="B17" i="10"/>
  <c r="B18" i="10"/>
  <c r="B19" i="10"/>
  <c r="B14" i="10"/>
  <c r="B15" i="12"/>
  <c r="B16" i="12"/>
  <c r="B17" i="12"/>
  <c r="B18" i="12"/>
  <c r="B19" i="12"/>
  <c r="B14" i="12"/>
  <c r="B14" i="11"/>
  <c r="B15" i="8"/>
  <c r="B16" i="8"/>
  <c r="B17" i="8"/>
  <c r="B18" i="8"/>
  <c r="B19" i="8"/>
  <c r="B14" i="8"/>
  <c r="B15" i="7"/>
  <c r="B16" i="7"/>
  <c r="B17" i="7"/>
  <c r="B18" i="7"/>
  <c r="B19" i="7"/>
  <c r="B15" i="6"/>
  <c r="B16" i="6"/>
  <c r="B17" i="6"/>
  <c r="B18" i="6"/>
  <c r="B19" i="6"/>
  <c r="B14" i="6"/>
  <c r="B15" i="4"/>
  <c r="B16" i="4"/>
  <c r="B17" i="4"/>
  <c r="B18" i="4"/>
  <c r="B19" i="4"/>
  <c r="B14" i="4"/>
  <c r="M19" i="2"/>
  <c r="D19" i="2"/>
  <c r="B15" i="18"/>
  <c r="B16" i="18"/>
  <c r="B17" i="18"/>
  <c r="B18" i="18"/>
  <c r="B19" i="18"/>
  <c r="B15" i="11"/>
  <c r="B16" i="11"/>
  <c r="B17" i="11"/>
  <c r="B18" i="11"/>
  <c r="B19" i="11"/>
  <c r="C36" i="21"/>
  <c r="J24" i="25"/>
  <c r="B36" i="21"/>
  <c r="C36" i="20"/>
  <c r="B36" i="20"/>
  <c r="J23" i="25"/>
  <c r="C36" i="19"/>
  <c r="B36" i="19"/>
  <c r="J22" i="25"/>
  <c r="B36" i="18"/>
  <c r="C36" i="18"/>
  <c r="J29" i="25"/>
  <c r="B36" i="13"/>
  <c r="C36" i="13"/>
  <c r="B36" i="12"/>
  <c r="J28" i="25"/>
  <c r="C36" i="12"/>
  <c r="B36" i="11"/>
  <c r="C36" i="11"/>
  <c r="J33" i="25"/>
  <c r="B36" i="10"/>
  <c r="C36" i="10"/>
  <c r="C36" i="9"/>
  <c r="C36" i="8"/>
  <c r="B36" i="8"/>
  <c r="J19" i="25"/>
  <c r="J37" i="25"/>
  <c r="B36" i="15"/>
  <c r="C36" i="15"/>
  <c r="C36" i="14"/>
  <c r="J36" i="25"/>
  <c r="B36" i="14"/>
  <c r="D30" i="18"/>
  <c r="D36" i="18"/>
  <c r="D30" i="11"/>
  <c r="D36" i="11"/>
  <c r="D27" i="18"/>
  <c r="D28" i="18"/>
  <c r="D29" i="18"/>
  <c r="D27" i="11"/>
  <c r="D28" i="11"/>
  <c r="D29" i="11"/>
  <c r="D26" i="11"/>
  <c r="N19" i="22"/>
  <c r="M19" i="22"/>
  <c r="L19" i="22"/>
  <c r="F19" i="22"/>
  <c r="N18" i="22"/>
  <c r="M18" i="22"/>
  <c r="L18" i="22"/>
  <c r="F18" i="22"/>
  <c r="N17" i="22"/>
  <c r="M17" i="22"/>
  <c r="L17" i="22"/>
  <c r="F17" i="22"/>
  <c r="N16" i="22"/>
  <c r="M16" i="22"/>
  <c r="L16" i="22"/>
  <c r="F16" i="22"/>
  <c r="N15" i="22"/>
  <c r="M15" i="22"/>
  <c r="L15" i="22"/>
  <c r="F15" i="22"/>
  <c r="N14" i="22"/>
  <c r="M14" i="22"/>
  <c r="L14" i="22"/>
  <c r="F14" i="22"/>
  <c r="N19" i="21"/>
  <c r="M19" i="21"/>
  <c r="L19" i="21"/>
  <c r="F19" i="21"/>
  <c r="N18" i="21"/>
  <c r="M18" i="21"/>
  <c r="L18" i="21"/>
  <c r="F18" i="21"/>
  <c r="N17" i="21"/>
  <c r="M17" i="21"/>
  <c r="L17" i="21"/>
  <c r="F17" i="21"/>
  <c r="N16" i="21"/>
  <c r="M16" i="21"/>
  <c r="L16" i="21"/>
  <c r="F16" i="21"/>
  <c r="N15" i="21"/>
  <c r="M15" i="21"/>
  <c r="L15" i="21"/>
  <c r="F15" i="21"/>
  <c r="N14" i="21"/>
  <c r="M14" i="21"/>
  <c r="L14" i="21"/>
  <c r="F14" i="21"/>
  <c r="N19" i="20"/>
  <c r="M19" i="20"/>
  <c r="L19" i="20"/>
  <c r="F19" i="20"/>
  <c r="N18" i="20"/>
  <c r="M18" i="20"/>
  <c r="L18" i="20"/>
  <c r="F18" i="20"/>
  <c r="N17" i="20"/>
  <c r="M17" i="20"/>
  <c r="L17" i="20"/>
  <c r="F17" i="20"/>
  <c r="N16" i="20"/>
  <c r="M16" i="20"/>
  <c r="L16" i="20"/>
  <c r="F16" i="20"/>
  <c r="N15" i="20"/>
  <c r="M15" i="20"/>
  <c r="L15" i="20"/>
  <c r="F15" i="20"/>
  <c r="N14" i="20"/>
  <c r="M14" i="20"/>
  <c r="L14" i="20"/>
  <c r="F14" i="20"/>
  <c r="N19" i="19"/>
  <c r="M19" i="19"/>
  <c r="L19" i="19"/>
  <c r="F19" i="19"/>
  <c r="N18" i="19"/>
  <c r="M18" i="19"/>
  <c r="L18" i="19"/>
  <c r="F18" i="19"/>
  <c r="N17" i="19"/>
  <c r="M17" i="19"/>
  <c r="L17" i="19"/>
  <c r="F17" i="19"/>
  <c r="N16" i="19"/>
  <c r="M16" i="19"/>
  <c r="L16" i="19"/>
  <c r="F16" i="19"/>
  <c r="N15" i="19"/>
  <c r="M15" i="19"/>
  <c r="L15" i="19"/>
  <c r="F15" i="19"/>
  <c r="N14" i="19"/>
  <c r="M14" i="19"/>
  <c r="L14" i="19"/>
  <c r="F14" i="19"/>
  <c r="D26" i="18"/>
  <c r="M19" i="18"/>
  <c r="L19" i="18"/>
  <c r="F19" i="18"/>
  <c r="M18" i="18"/>
  <c r="L18" i="18"/>
  <c r="F18" i="18"/>
  <c r="M17" i="18"/>
  <c r="L17" i="18"/>
  <c r="F17" i="18"/>
  <c r="M16" i="18"/>
  <c r="L16" i="18"/>
  <c r="F16" i="18"/>
  <c r="M15" i="18"/>
  <c r="L15" i="18"/>
  <c r="F15" i="18"/>
  <c r="M14" i="18"/>
  <c r="L14" i="18"/>
  <c r="F14" i="18"/>
  <c r="J11" i="25"/>
  <c r="D31" i="18"/>
  <c r="J12" i="25"/>
  <c r="D31" i="11"/>
  <c r="D17" i="18"/>
  <c r="D19" i="22"/>
  <c r="D19" i="21"/>
  <c r="D14" i="22"/>
  <c r="D15" i="22"/>
  <c r="D16" i="22"/>
  <c r="D17" i="22"/>
  <c r="D18" i="22"/>
  <c r="D14" i="21"/>
  <c r="D15" i="21"/>
  <c r="D16" i="21"/>
  <c r="D17" i="21"/>
  <c r="D18" i="21"/>
  <c r="D19" i="20"/>
  <c r="D14" i="20"/>
  <c r="D15" i="20"/>
  <c r="D16" i="20"/>
  <c r="D17" i="20"/>
  <c r="D18" i="20"/>
  <c r="D15" i="19"/>
  <c r="D16" i="19"/>
  <c r="D14" i="19"/>
  <c r="D19" i="19"/>
  <c r="D18" i="19"/>
  <c r="D17" i="19"/>
  <c r="O17" i="18"/>
  <c r="P14" i="22"/>
  <c r="P14" i="20"/>
  <c r="P19" i="21"/>
  <c r="P19" i="20"/>
  <c r="P17" i="19"/>
  <c r="P18" i="21"/>
  <c r="P17" i="21"/>
  <c r="P16" i="21"/>
  <c r="P14" i="19"/>
  <c r="P15" i="21"/>
  <c r="P14" i="21"/>
  <c r="P15" i="19"/>
  <c r="P18" i="22"/>
  <c r="P17" i="22"/>
  <c r="P15" i="20"/>
  <c r="P19" i="22"/>
  <c r="P18" i="19"/>
  <c r="P19" i="19"/>
  <c r="P16" i="19"/>
  <c r="P18" i="20"/>
  <c r="P17" i="20"/>
  <c r="P16" i="20"/>
  <c r="P15" i="22"/>
  <c r="P16" i="22"/>
  <c r="D18" i="18"/>
  <c r="D14" i="18"/>
  <c r="D16" i="18"/>
  <c r="D15" i="18"/>
  <c r="D19" i="18"/>
  <c r="N19" i="15"/>
  <c r="M19" i="15"/>
  <c r="L19" i="15"/>
  <c r="F19" i="15"/>
  <c r="N18" i="15"/>
  <c r="M18" i="15"/>
  <c r="L18" i="15"/>
  <c r="F18" i="15"/>
  <c r="N17" i="15"/>
  <c r="M17" i="15"/>
  <c r="L17" i="15"/>
  <c r="F17" i="15"/>
  <c r="N16" i="15"/>
  <c r="M16" i="15"/>
  <c r="L16" i="15"/>
  <c r="F16" i="15"/>
  <c r="N15" i="15"/>
  <c r="M15" i="15"/>
  <c r="L15" i="15"/>
  <c r="F15" i="15"/>
  <c r="N14" i="15"/>
  <c r="M14" i="15"/>
  <c r="L14" i="15"/>
  <c r="F14" i="15"/>
  <c r="N19" i="14"/>
  <c r="M19" i="14"/>
  <c r="L19" i="14"/>
  <c r="F19" i="14"/>
  <c r="N18" i="14"/>
  <c r="M18" i="14"/>
  <c r="L18" i="14"/>
  <c r="F18" i="14"/>
  <c r="N17" i="14"/>
  <c r="M17" i="14"/>
  <c r="L17" i="14"/>
  <c r="F17" i="14"/>
  <c r="N16" i="14"/>
  <c r="M16" i="14"/>
  <c r="L16" i="14"/>
  <c r="F16" i="14"/>
  <c r="N15" i="14"/>
  <c r="M15" i="14"/>
  <c r="L15" i="14"/>
  <c r="F15" i="14"/>
  <c r="N14" i="14"/>
  <c r="M14" i="14"/>
  <c r="L14" i="14"/>
  <c r="F14" i="14"/>
  <c r="P20" i="21"/>
  <c r="F24" i="25"/>
  <c r="P20" i="22"/>
  <c r="F25" i="25"/>
  <c r="P20" i="19"/>
  <c r="F22" i="25"/>
  <c r="P20" i="20"/>
  <c r="F23" i="25"/>
  <c r="O19" i="18"/>
  <c r="O15" i="18"/>
  <c r="O16" i="18"/>
  <c r="O14" i="18"/>
  <c r="O18" i="18"/>
  <c r="D14" i="14"/>
  <c r="D18" i="14"/>
  <c r="D16" i="14"/>
  <c r="D19" i="14"/>
  <c r="D15" i="14"/>
  <c r="D17" i="14"/>
  <c r="D19" i="15"/>
  <c r="D18" i="15"/>
  <c r="D17" i="15"/>
  <c r="D16" i="15"/>
  <c r="D15" i="15"/>
  <c r="D14" i="15"/>
  <c r="O20" i="18"/>
  <c r="F11" i="25"/>
  <c r="P15" i="15"/>
  <c r="P18" i="15"/>
  <c r="P19" i="15"/>
  <c r="P17" i="14"/>
  <c r="P15" i="14"/>
  <c r="P14" i="15"/>
  <c r="P19" i="14"/>
  <c r="P18" i="14"/>
  <c r="P16" i="14"/>
  <c r="P16" i="15"/>
  <c r="P17" i="15"/>
  <c r="P14" i="14"/>
  <c r="F39" i="25"/>
  <c r="F38" i="25"/>
  <c r="N19" i="13"/>
  <c r="M19" i="13"/>
  <c r="L19" i="13"/>
  <c r="F19" i="13"/>
  <c r="N18" i="13"/>
  <c r="M18" i="13"/>
  <c r="L18" i="13"/>
  <c r="F18" i="13"/>
  <c r="N17" i="13"/>
  <c r="M17" i="13"/>
  <c r="L17" i="13"/>
  <c r="F17" i="13"/>
  <c r="N16" i="13"/>
  <c r="M16" i="13"/>
  <c r="L16" i="13"/>
  <c r="F16" i="13"/>
  <c r="N15" i="13"/>
  <c r="M15" i="13"/>
  <c r="L15" i="13"/>
  <c r="F15" i="13"/>
  <c r="N14" i="13"/>
  <c r="M14" i="13"/>
  <c r="L14" i="13"/>
  <c r="F14" i="13"/>
  <c r="N19" i="12"/>
  <c r="M19" i="12"/>
  <c r="L19" i="12"/>
  <c r="F19" i="12"/>
  <c r="N18" i="12"/>
  <c r="M18" i="12"/>
  <c r="L18" i="12"/>
  <c r="F18" i="12"/>
  <c r="N17" i="12"/>
  <c r="M17" i="12"/>
  <c r="L17" i="12"/>
  <c r="F17" i="12"/>
  <c r="N16" i="12"/>
  <c r="M16" i="12"/>
  <c r="L16" i="12"/>
  <c r="F16" i="12"/>
  <c r="N15" i="12"/>
  <c r="M15" i="12"/>
  <c r="L15" i="12"/>
  <c r="F15" i="12"/>
  <c r="N14" i="12"/>
  <c r="M14" i="12"/>
  <c r="L14" i="12"/>
  <c r="F14" i="12"/>
  <c r="P20" i="14"/>
  <c r="F36" i="25"/>
  <c r="P20" i="15"/>
  <c r="F37" i="25"/>
  <c r="D14" i="12"/>
  <c r="D14" i="13"/>
  <c r="D16" i="13"/>
  <c r="D17" i="13"/>
  <c r="D15" i="13"/>
  <c r="D19" i="13"/>
  <c r="D18" i="13"/>
  <c r="D19" i="12"/>
  <c r="P19" i="12"/>
  <c r="D15" i="12"/>
  <c r="D16" i="12"/>
  <c r="D17" i="12"/>
  <c r="D18" i="12"/>
  <c r="P15" i="12"/>
  <c r="P15" i="13"/>
  <c r="P18" i="12"/>
  <c r="P17" i="12"/>
  <c r="P16" i="12"/>
  <c r="P18" i="13"/>
  <c r="P19" i="13"/>
  <c r="P17" i="13"/>
  <c r="P16" i="13"/>
  <c r="P14" i="13"/>
  <c r="P14" i="12"/>
  <c r="M19" i="11"/>
  <c r="L19" i="11"/>
  <c r="F19" i="11"/>
  <c r="M18" i="11"/>
  <c r="L18" i="11"/>
  <c r="F18" i="11"/>
  <c r="M17" i="11"/>
  <c r="L17" i="11"/>
  <c r="F17" i="11"/>
  <c r="M16" i="11"/>
  <c r="L16" i="11"/>
  <c r="F16" i="11"/>
  <c r="M15" i="11"/>
  <c r="L15" i="11"/>
  <c r="F15" i="11"/>
  <c r="M14" i="11"/>
  <c r="L14" i="11"/>
  <c r="F14" i="11"/>
  <c r="P20" i="13"/>
  <c r="F29" i="25"/>
  <c r="P20" i="12"/>
  <c r="F28" i="25"/>
  <c r="D17" i="11"/>
  <c r="D14" i="11"/>
  <c r="D15" i="11"/>
  <c r="D18" i="11"/>
  <c r="D16" i="11"/>
  <c r="D19" i="11"/>
  <c r="N19" i="10"/>
  <c r="M19" i="10"/>
  <c r="L19" i="10"/>
  <c r="F19" i="10"/>
  <c r="N18" i="10"/>
  <c r="M18" i="10"/>
  <c r="L18" i="10"/>
  <c r="F18" i="10"/>
  <c r="N17" i="10"/>
  <c r="M17" i="10"/>
  <c r="L17" i="10"/>
  <c r="F17" i="10"/>
  <c r="N16" i="10"/>
  <c r="M16" i="10"/>
  <c r="L16" i="10"/>
  <c r="F16" i="10"/>
  <c r="N15" i="10"/>
  <c r="M15" i="10"/>
  <c r="L15" i="10"/>
  <c r="F15" i="10"/>
  <c r="N14" i="10"/>
  <c r="M14" i="10"/>
  <c r="L14" i="10"/>
  <c r="F14" i="10"/>
  <c r="F14" i="9"/>
  <c r="N19" i="9"/>
  <c r="M19" i="9"/>
  <c r="L19" i="9"/>
  <c r="F19" i="9"/>
  <c r="N18" i="9"/>
  <c r="M18" i="9"/>
  <c r="L18" i="9"/>
  <c r="F18" i="9"/>
  <c r="N17" i="9"/>
  <c r="M17" i="9"/>
  <c r="L17" i="9"/>
  <c r="F17" i="9"/>
  <c r="N16" i="9"/>
  <c r="M16" i="9"/>
  <c r="L16" i="9"/>
  <c r="F16" i="9"/>
  <c r="N15" i="9"/>
  <c r="M15" i="9"/>
  <c r="L15" i="9"/>
  <c r="F15" i="9"/>
  <c r="N14" i="9"/>
  <c r="M14" i="9"/>
  <c r="L14" i="9"/>
  <c r="N19" i="8"/>
  <c r="M19" i="8"/>
  <c r="L19" i="8"/>
  <c r="F19" i="8"/>
  <c r="N18" i="8"/>
  <c r="M18" i="8"/>
  <c r="L18" i="8"/>
  <c r="F18" i="8"/>
  <c r="N17" i="8"/>
  <c r="M17" i="8"/>
  <c r="L17" i="8"/>
  <c r="F17" i="8"/>
  <c r="N16" i="8"/>
  <c r="M16" i="8"/>
  <c r="L16" i="8"/>
  <c r="F16" i="8"/>
  <c r="N15" i="8"/>
  <c r="M15" i="8"/>
  <c r="L15" i="8"/>
  <c r="F15" i="8"/>
  <c r="N14" i="8"/>
  <c r="M14" i="8"/>
  <c r="L14" i="8"/>
  <c r="F14" i="8"/>
  <c r="N19" i="7"/>
  <c r="M19" i="7"/>
  <c r="L19" i="7"/>
  <c r="F19" i="7"/>
  <c r="N18" i="7"/>
  <c r="M18" i="7"/>
  <c r="L18" i="7"/>
  <c r="F18" i="7"/>
  <c r="N17" i="7"/>
  <c r="M17" i="7"/>
  <c r="L17" i="7"/>
  <c r="F17" i="7"/>
  <c r="N16" i="7"/>
  <c r="M16" i="7"/>
  <c r="L16" i="7"/>
  <c r="F16" i="7"/>
  <c r="N15" i="7"/>
  <c r="M15" i="7"/>
  <c r="L15" i="7"/>
  <c r="F15" i="7"/>
  <c r="N14" i="7"/>
  <c r="M14" i="7"/>
  <c r="L14" i="7"/>
  <c r="F14" i="7"/>
  <c r="N14" i="6"/>
  <c r="M14" i="6"/>
  <c r="L14" i="6"/>
  <c r="F14" i="6"/>
  <c r="N19" i="6"/>
  <c r="M19" i="6"/>
  <c r="L19" i="6"/>
  <c r="F19" i="6"/>
  <c r="N18" i="6"/>
  <c r="M18" i="6"/>
  <c r="L18" i="6"/>
  <c r="F18" i="6"/>
  <c r="N17" i="6"/>
  <c r="M17" i="6"/>
  <c r="L17" i="6"/>
  <c r="F17" i="6"/>
  <c r="N16" i="6"/>
  <c r="M16" i="6"/>
  <c r="L16" i="6"/>
  <c r="F16" i="6"/>
  <c r="N15" i="6"/>
  <c r="M15" i="6"/>
  <c r="L15" i="6"/>
  <c r="F15" i="6"/>
  <c r="F14" i="4"/>
  <c r="L14" i="4"/>
  <c r="N15" i="4"/>
  <c r="N16" i="4"/>
  <c r="N17" i="4"/>
  <c r="N18" i="4"/>
  <c r="N19" i="4"/>
  <c r="N14" i="4"/>
  <c r="M19" i="4"/>
  <c r="L19" i="4"/>
  <c r="F19" i="4"/>
  <c r="M18" i="4"/>
  <c r="L18" i="4"/>
  <c r="F18" i="4"/>
  <c r="M17" i="4"/>
  <c r="L17" i="4"/>
  <c r="F17" i="4"/>
  <c r="M16" i="4"/>
  <c r="L16" i="4"/>
  <c r="F16" i="4"/>
  <c r="M15" i="4"/>
  <c r="L15" i="4"/>
  <c r="F15" i="4"/>
  <c r="M14" i="4"/>
  <c r="M14" i="2"/>
  <c r="D14" i="2"/>
  <c r="L14" i="2"/>
  <c r="L15" i="2"/>
  <c r="M15" i="2"/>
  <c r="D15" i="2"/>
  <c r="L16" i="2"/>
  <c r="M16" i="2"/>
  <c r="D16" i="2"/>
  <c r="L17" i="2"/>
  <c r="M17" i="2"/>
  <c r="D17" i="2"/>
  <c r="L18" i="2"/>
  <c r="M18" i="2"/>
  <c r="D18" i="2"/>
  <c r="L19" i="2"/>
  <c r="J6" i="3"/>
  <c r="O19" i="11"/>
  <c r="O16" i="11"/>
  <c r="O18" i="11"/>
  <c r="O15" i="11"/>
  <c r="O14" i="11"/>
  <c r="O17" i="11"/>
  <c r="C18" i="2"/>
  <c r="G18" i="2"/>
  <c r="H18" i="2"/>
  <c r="C19" i="2"/>
  <c r="C16" i="8"/>
  <c r="D14" i="7"/>
  <c r="D14" i="4"/>
  <c r="D14" i="10"/>
  <c r="D16" i="9"/>
  <c r="D19" i="9"/>
  <c r="D14" i="9"/>
  <c r="D17" i="9"/>
  <c r="D15" i="9"/>
  <c r="D18" i="9"/>
  <c r="D14" i="8"/>
  <c r="D19" i="4"/>
  <c r="D17" i="7"/>
  <c r="D14" i="6"/>
  <c r="D18" i="4"/>
  <c r="J8" i="3"/>
  <c r="C14" i="9"/>
  <c r="D19" i="7"/>
  <c r="D16" i="7"/>
  <c r="D15" i="7"/>
  <c r="D18" i="7"/>
  <c r="D16" i="4"/>
  <c r="D15" i="4"/>
  <c r="D17" i="4"/>
  <c r="D19" i="10"/>
  <c r="D15" i="10"/>
  <c r="D16" i="10"/>
  <c r="D17" i="10"/>
  <c r="D18" i="10"/>
  <c r="D19" i="8"/>
  <c r="D15" i="8"/>
  <c r="D16" i="8"/>
  <c r="D17" i="8"/>
  <c r="D18" i="8"/>
  <c r="D19" i="6"/>
  <c r="D15" i="6"/>
  <c r="D16" i="6"/>
  <c r="D17" i="6"/>
  <c r="D18" i="6"/>
  <c r="O19" i="2"/>
  <c r="O18" i="2"/>
  <c r="O17" i="2"/>
  <c r="O16" i="2"/>
  <c r="P23" i="3"/>
  <c r="O23" i="3"/>
  <c r="N23" i="3"/>
  <c r="M23" i="3"/>
  <c r="L23" i="3"/>
  <c r="K23" i="3"/>
  <c r="P22" i="3"/>
  <c r="O22" i="3"/>
  <c r="N22" i="3"/>
  <c r="M22" i="3"/>
  <c r="L22" i="3"/>
  <c r="K22" i="3"/>
  <c r="P21" i="3"/>
  <c r="O21" i="3"/>
  <c r="N21" i="3"/>
  <c r="M21" i="3"/>
  <c r="L21" i="3"/>
  <c r="K21" i="3"/>
  <c r="P20" i="3"/>
  <c r="O20" i="3"/>
  <c r="N20" i="3"/>
  <c r="M20" i="3"/>
  <c r="L20" i="3"/>
  <c r="K20" i="3"/>
  <c r="P19" i="3"/>
  <c r="O19" i="3"/>
  <c r="N19" i="3"/>
  <c r="M19" i="3"/>
  <c r="L19" i="3"/>
  <c r="K19" i="3"/>
  <c r="P18" i="3"/>
  <c r="O18" i="3"/>
  <c r="N18" i="3"/>
  <c r="M18" i="3"/>
  <c r="L18" i="3"/>
  <c r="K18" i="3"/>
  <c r="P17" i="3"/>
  <c r="O17" i="3"/>
  <c r="N17" i="3"/>
  <c r="M17" i="3"/>
  <c r="L17" i="3"/>
  <c r="K17" i="3"/>
  <c r="P16" i="3"/>
  <c r="O16" i="3"/>
  <c r="N16" i="3"/>
  <c r="M16" i="3"/>
  <c r="L16" i="3"/>
  <c r="K16" i="3"/>
  <c r="P15" i="3"/>
  <c r="O15" i="3"/>
  <c r="N15" i="3"/>
  <c r="M15" i="3"/>
  <c r="L15" i="3"/>
  <c r="K15" i="3"/>
  <c r="P14" i="3"/>
  <c r="O14" i="3"/>
  <c r="N14" i="3"/>
  <c r="M14" i="3"/>
  <c r="L14" i="3"/>
  <c r="K14" i="3"/>
  <c r="P13" i="3"/>
  <c r="O13" i="3"/>
  <c r="N13" i="3"/>
  <c r="M13" i="3"/>
  <c r="L13" i="3"/>
  <c r="K13" i="3"/>
  <c r="P12" i="3"/>
  <c r="O12" i="3"/>
  <c r="N12" i="3"/>
  <c r="M12" i="3"/>
  <c r="L12" i="3"/>
  <c r="K12" i="3"/>
  <c r="P11" i="3"/>
  <c r="O11" i="3"/>
  <c r="N11" i="3"/>
  <c r="M11" i="3"/>
  <c r="L11" i="3"/>
  <c r="K11" i="3"/>
  <c r="P10" i="3"/>
  <c r="O10" i="3"/>
  <c r="N10" i="3"/>
  <c r="M10" i="3"/>
  <c r="L10" i="3"/>
  <c r="K10" i="3"/>
  <c r="P8" i="3"/>
  <c r="O8" i="3"/>
  <c r="N8" i="3"/>
  <c r="M8" i="3"/>
  <c r="C16" i="7"/>
  <c r="G16" i="7"/>
  <c r="L8" i="3"/>
  <c r="K8" i="3"/>
  <c r="P6" i="3"/>
  <c r="O6" i="3"/>
  <c r="N6" i="3"/>
  <c r="M6" i="3"/>
  <c r="L6" i="3"/>
  <c r="K6" i="3"/>
  <c r="A6" i="3"/>
  <c r="A8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P4" i="3"/>
  <c r="O4" i="3"/>
  <c r="N4" i="3"/>
  <c r="M4" i="3"/>
  <c r="L4" i="3"/>
  <c r="K4" i="3"/>
  <c r="O20" i="11"/>
  <c r="F12" i="25"/>
  <c r="P19" i="8"/>
  <c r="P19" i="7"/>
  <c r="P19" i="9"/>
  <c r="P18" i="10"/>
  <c r="P16" i="9"/>
  <c r="P17" i="10"/>
  <c r="P18" i="6"/>
  <c r="P16" i="10"/>
  <c r="P14" i="6"/>
  <c r="P17" i="6"/>
  <c r="P15" i="10"/>
  <c r="P17" i="7"/>
  <c r="P14" i="7"/>
  <c r="P16" i="6"/>
  <c r="P19" i="10"/>
  <c r="P15" i="6"/>
  <c r="P19" i="6"/>
  <c r="P14" i="8"/>
  <c r="P18" i="8"/>
  <c r="P18" i="9"/>
  <c r="P17" i="8"/>
  <c r="P18" i="7"/>
  <c r="P15" i="9"/>
  <c r="P16" i="8"/>
  <c r="P15" i="7"/>
  <c r="P17" i="9"/>
  <c r="P15" i="8"/>
  <c r="P16" i="7"/>
  <c r="P14" i="9"/>
  <c r="P14" i="10"/>
  <c r="P17" i="4"/>
  <c r="P18" i="4"/>
  <c r="P15" i="4"/>
  <c r="P19" i="4"/>
  <c r="P14" i="4"/>
  <c r="P16" i="4"/>
  <c r="G19" i="2"/>
  <c r="H19" i="2"/>
  <c r="E19" i="2"/>
  <c r="C14" i="8"/>
  <c r="G14" i="8"/>
  <c r="H14" i="8"/>
  <c r="I14" i="8"/>
  <c r="I15" i="8"/>
  <c r="E18" i="2"/>
  <c r="C18" i="8"/>
  <c r="E18" i="8"/>
  <c r="C15" i="2"/>
  <c r="G15" i="2"/>
  <c r="C17" i="8"/>
  <c r="G17" i="8"/>
  <c r="H17" i="8"/>
  <c r="C17" i="2"/>
  <c r="C16" i="6"/>
  <c r="G16" i="6"/>
  <c r="H16" i="6"/>
  <c r="C19" i="8"/>
  <c r="G19" i="8"/>
  <c r="H19" i="8"/>
  <c r="C14" i="2"/>
  <c r="G14" i="2"/>
  <c r="H14" i="2"/>
  <c r="I14" i="2"/>
  <c r="C18" i="7"/>
  <c r="G18" i="7"/>
  <c r="H18" i="7"/>
  <c r="C16" i="2"/>
  <c r="C17" i="4"/>
  <c r="G17" i="4"/>
  <c r="H17" i="4"/>
  <c r="C15" i="8"/>
  <c r="G15" i="8"/>
  <c r="H15" i="8"/>
  <c r="C18" i="6"/>
  <c r="G18" i="6"/>
  <c r="H18" i="6"/>
  <c r="C14" i="4"/>
  <c r="G14" i="4"/>
  <c r="H14" i="4"/>
  <c r="J10" i="3"/>
  <c r="C15" i="10"/>
  <c r="G15" i="10"/>
  <c r="H15" i="10"/>
  <c r="C19" i="6"/>
  <c r="G19" i="6"/>
  <c r="H19" i="6"/>
  <c r="C14" i="7"/>
  <c r="G14" i="7"/>
  <c r="H14" i="7"/>
  <c r="I14" i="7"/>
  <c r="J14" i="7"/>
  <c r="K14" i="7"/>
  <c r="C15" i="4"/>
  <c r="G15" i="4"/>
  <c r="H15" i="4"/>
  <c r="C14" i="6"/>
  <c r="G16" i="8"/>
  <c r="H16" i="8"/>
  <c r="C15" i="7"/>
  <c r="G15" i="7"/>
  <c r="H15" i="7"/>
  <c r="C15" i="6"/>
  <c r="G15" i="6"/>
  <c r="H15" i="6"/>
  <c r="C18" i="10"/>
  <c r="G18" i="10"/>
  <c r="H18" i="10"/>
  <c r="C19" i="4"/>
  <c r="C16" i="4"/>
  <c r="G16" i="4"/>
  <c r="H16" i="4"/>
  <c r="C17" i="6"/>
  <c r="G17" i="6"/>
  <c r="H17" i="6"/>
  <c r="C19" i="7"/>
  <c r="G19" i="7"/>
  <c r="H19" i="7"/>
  <c r="C18" i="4"/>
  <c r="C17" i="7"/>
  <c r="G17" i="7"/>
  <c r="H17" i="7"/>
  <c r="H16" i="7"/>
  <c r="E16" i="7"/>
  <c r="E17" i="8"/>
  <c r="I16" i="8"/>
  <c r="J16" i="8"/>
  <c r="I17" i="8"/>
  <c r="J17" i="8"/>
  <c r="D19" i="25"/>
  <c r="I18" i="8"/>
  <c r="J14" i="2"/>
  <c r="I15" i="7"/>
  <c r="I15" i="4"/>
  <c r="D16" i="25" s="1"/>
  <c r="P20" i="9"/>
  <c r="F32" i="25"/>
  <c r="I15" i="2"/>
  <c r="P20" i="6"/>
  <c r="F17" i="25"/>
  <c r="P20" i="10"/>
  <c r="F33" i="25"/>
  <c r="P20" i="8"/>
  <c r="F19" i="25"/>
  <c r="P20" i="7"/>
  <c r="F18" i="25"/>
  <c r="P20" i="4"/>
  <c r="F16" i="25"/>
  <c r="G18" i="8"/>
  <c r="H18" i="8"/>
  <c r="E16" i="6"/>
  <c r="E18" i="7"/>
  <c r="E19" i="8"/>
  <c r="G17" i="2"/>
  <c r="H17" i="2"/>
  <c r="E17" i="2"/>
  <c r="C15" i="9"/>
  <c r="G15" i="9"/>
  <c r="H15" i="9"/>
  <c r="E17" i="4"/>
  <c r="G16" i="2"/>
  <c r="H16" i="2"/>
  <c r="E16" i="2"/>
  <c r="H15" i="2"/>
  <c r="E15" i="2"/>
  <c r="E14" i="2"/>
  <c r="E14" i="8"/>
  <c r="E17" i="7"/>
  <c r="E18" i="6"/>
  <c r="E14" i="4"/>
  <c r="E15" i="4"/>
  <c r="E14" i="7"/>
  <c r="E15" i="7"/>
  <c r="C17" i="9"/>
  <c r="G17" i="9"/>
  <c r="H17" i="9"/>
  <c r="E17" i="6"/>
  <c r="C17" i="18"/>
  <c r="E17" i="18"/>
  <c r="E18" i="10"/>
  <c r="E15" i="8"/>
  <c r="C18" i="20"/>
  <c r="G18" i="20"/>
  <c r="H18" i="20"/>
  <c r="E16" i="8"/>
  <c r="E16" i="4"/>
  <c r="G19" i="4"/>
  <c r="H19" i="4"/>
  <c r="E19" i="4"/>
  <c r="G14" i="9"/>
  <c r="H14" i="9"/>
  <c r="I14" i="9"/>
  <c r="E14" i="9"/>
  <c r="G18" i="4"/>
  <c r="H18" i="4"/>
  <c r="E18" i="4"/>
  <c r="G14" i="6"/>
  <c r="H14" i="6"/>
  <c r="I14" i="6"/>
  <c r="I15" i="6"/>
  <c r="J15" i="6"/>
  <c r="E14" i="6"/>
  <c r="J11" i="3"/>
  <c r="C16" i="20"/>
  <c r="C14" i="19"/>
  <c r="C15" i="15"/>
  <c r="C15" i="13"/>
  <c r="C17" i="11"/>
  <c r="C19" i="10"/>
  <c r="C15" i="20"/>
  <c r="C14" i="14"/>
  <c r="C15" i="18"/>
  <c r="C16" i="15"/>
  <c r="C17" i="13"/>
  <c r="C19" i="19"/>
  <c r="C14" i="18"/>
  <c r="C15" i="14"/>
  <c r="C16" i="12"/>
  <c r="C16" i="11"/>
  <c r="C18" i="21"/>
  <c r="C17" i="20"/>
  <c r="C16" i="18"/>
  <c r="C17" i="15"/>
  <c r="C19" i="13"/>
  <c r="C18" i="19"/>
  <c r="C17" i="21"/>
  <c r="C14" i="13"/>
  <c r="C16" i="9"/>
  <c r="C17" i="19"/>
  <c r="C18" i="15"/>
  <c r="C19" i="22"/>
  <c r="C19" i="21"/>
  <c r="C16" i="19"/>
  <c r="C19" i="15"/>
  <c r="C15" i="12"/>
  <c r="C18" i="22"/>
  <c r="C17" i="12"/>
  <c r="C16" i="22"/>
  <c r="C15" i="11"/>
  <c r="C14" i="12"/>
  <c r="C19" i="11"/>
  <c r="C16" i="14"/>
  <c r="C16" i="21"/>
  <c r="G16" i="21"/>
  <c r="C16" i="13"/>
  <c r="C14" i="22"/>
  <c r="C17" i="22"/>
  <c r="C15" i="19"/>
  <c r="C18" i="14"/>
  <c r="C19" i="14"/>
  <c r="C18" i="13"/>
  <c r="C18" i="9"/>
  <c r="C18" i="11"/>
  <c r="C14" i="21"/>
  <c r="C14" i="15"/>
  <c r="C14" i="11"/>
  <c r="C19" i="20"/>
  <c r="C19" i="18"/>
  <c r="C17" i="14"/>
  <c r="C15" i="21"/>
  <c r="C14" i="10"/>
  <c r="C19" i="12"/>
  <c r="C14" i="20"/>
  <c r="C15" i="22"/>
  <c r="C18" i="12"/>
  <c r="C18" i="18"/>
  <c r="E15" i="10"/>
  <c r="C19" i="9"/>
  <c r="C16" i="10"/>
  <c r="E15" i="6"/>
  <c r="E19" i="7"/>
  <c r="E19" i="6"/>
  <c r="C17" i="10"/>
  <c r="J15" i="8"/>
  <c r="I16" i="7"/>
  <c r="J16" i="7"/>
  <c r="K16" i="7"/>
  <c r="I17" i="7"/>
  <c r="J17" i="7"/>
  <c r="K17" i="7"/>
  <c r="I18" i="7"/>
  <c r="J18" i="7"/>
  <c r="K18" i="7"/>
  <c r="D18" i="25"/>
  <c r="J15" i="7"/>
  <c r="K15" i="7"/>
  <c r="I16" i="2"/>
  <c r="J16" i="2"/>
  <c r="I17" i="2"/>
  <c r="J17" i="2"/>
  <c r="K17" i="2"/>
  <c r="D10" i="25"/>
  <c r="I18" i="2"/>
  <c r="J18" i="2"/>
  <c r="N18" i="2"/>
  <c r="I18" i="6"/>
  <c r="J18" i="6"/>
  <c r="K18" i="6"/>
  <c r="D17" i="25"/>
  <c r="I16" i="6"/>
  <c r="J16" i="6"/>
  <c r="K16" i="6"/>
  <c r="I17" i="6"/>
  <c r="J17" i="6"/>
  <c r="K17" i="6"/>
  <c r="I15" i="9"/>
  <c r="J15" i="9"/>
  <c r="J19" i="2"/>
  <c r="N19" i="2"/>
  <c r="K17" i="8"/>
  <c r="O17" i="8"/>
  <c r="K16" i="8"/>
  <c r="O16" i="8"/>
  <c r="K15" i="8"/>
  <c r="O15" i="8"/>
  <c r="K15" i="6"/>
  <c r="O15" i="6"/>
  <c r="J18" i="8"/>
  <c r="J15" i="2"/>
  <c r="E15" i="9"/>
  <c r="C10" i="25"/>
  <c r="J12" i="3"/>
  <c r="E17" i="9"/>
  <c r="G14" i="14"/>
  <c r="H14" i="14"/>
  <c r="I14" i="14"/>
  <c r="E14" i="14"/>
  <c r="G17" i="18"/>
  <c r="H17" i="18"/>
  <c r="J14" i="8"/>
  <c r="C19" i="25"/>
  <c r="J19" i="8"/>
  <c r="E19" i="25"/>
  <c r="J19" i="7"/>
  <c r="E18" i="25"/>
  <c r="C18" i="25"/>
  <c r="J19" i="6"/>
  <c r="E17" i="25"/>
  <c r="E10" i="25"/>
  <c r="E18" i="20"/>
  <c r="G18" i="11"/>
  <c r="H18" i="11"/>
  <c r="E18" i="11"/>
  <c r="G19" i="22"/>
  <c r="H19" i="22"/>
  <c r="E19" i="22"/>
  <c r="G18" i="21"/>
  <c r="H18" i="21"/>
  <c r="E18" i="21"/>
  <c r="G15" i="11"/>
  <c r="H15" i="11"/>
  <c r="E15" i="11"/>
  <c r="G18" i="15"/>
  <c r="H18" i="15"/>
  <c r="E18" i="15"/>
  <c r="G16" i="11"/>
  <c r="H16" i="11"/>
  <c r="E16" i="11"/>
  <c r="G15" i="20"/>
  <c r="H15" i="20"/>
  <c r="E15" i="20"/>
  <c r="G16" i="14"/>
  <c r="H16" i="14"/>
  <c r="E16" i="14"/>
  <c r="G17" i="10"/>
  <c r="H17" i="10"/>
  <c r="E17" i="10"/>
  <c r="G18" i="13"/>
  <c r="H18" i="13"/>
  <c r="E18" i="13"/>
  <c r="G15" i="21"/>
  <c r="H15" i="21"/>
  <c r="E15" i="21"/>
  <c r="G14" i="13"/>
  <c r="H14" i="13"/>
  <c r="I14" i="13"/>
  <c r="E14" i="13"/>
  <c r="G16" i="10"/>
  <c r="H16" i="10"/>
  <c r="E16" i="10"/>
  <c r="G19" i="20"/>
  <c r="H19" i="20"/>
  <c r="E19" i="20"/>
  <c r="G17" i="22"/>
  <c r="H17" i="22"/>
  <c r="E17" i="22"/>
  <c r="G17" i="21"/>
  <c r="H17" i="21"/>
  <c r="E17" i="21"/>
  <c r="G14" i="18"/>
  <c r="H14" i="18"/>
  <c r="I14" i="18"/>
  <c r="J14" i="18"/>
  <c r="K14" i="18"/>
  <c r="E14" i="18"/>
  <c r="G16" i="19"/>
  <c r="H16" i="19"/>
  <c r="E16" i="19"/>
  <c r="G17" i="20"/>
  <c r="H17" i="20"/>
  <c r="E17" i="20"/>
  <c r="G19" i="14"/>
  <c r="H19" i="14"/>
  <c r="E19" i="14"/>
  <c r="G17" i="19"/>
  <c r="H17" i="19"/>
  <c r="E17" i="19"/>
  <c r="G16" i="22"/>
  <c r="H16" i="22"/>
  <c r="E16" i="22"/>
  <c r="G17" i="11"/>
  <c r="H17" i="11"/>
  <c r="E17" i="11"/>
  <c r="G19" i="18"/>
  <c r="H19" i="18"/>
  <c r="E19" i="18"/>
  <c r="G19" i="9"/>
  <c r="H19" i="9"/>
  <c r="E19" i="9"/>
  <c r="G14" i="22"/>
  <c r="H14" i="22"/>
  <c r="I14" i="22"/>
  <c r="E14" i="22"/>
  <c r="G18" i="22"/>
  <c r="H18" i="22"/>
  <c r="E18" i="22"/>
  <c r="G18" i="19"/>
  <c r="H18" i="19"/>
  <c r="E18" i="19"/>
  <c r="G19" i="19"/>
  <c r="H19" i="19"/>
  <c r="E19" i="19"/>
  <c r="G15" i="15"/>
  <c r="H15" i="15"/>
  <c r="E15" i="15"/>
  <c r="G19" i="11"/>
  <c r="H19" i="11"/>
  <c r="E19" i="11"/>
  <c r="G18" i="9"/>
  <c r="H18" i="9"/>
  <c r="E18" i="9"/>
  <c r="G14" i="12"/>
  <c r="H14" i="12"/>
  <c r="I14" i="12"/>
  <c r="E14" i="12"/>
  <c r="G16" i="12"/>
  <c r="H16" i="12"/>
  <c r="E16" i="12"/>
  <c r="G17" i="14"/>
  <c r="H17" i="14"/>
  <c r="E17" i="14"/>
  <c r="G18" i="14"/>
  <c r="H18" i="14"/>
  <c r="E18" i="14"/>
  <c r="G15" i="14"/>
  <c r="H15" i="14"/>
  <c r="E15" i="14"/>
  <c r="G17" i="12"/>
  <c r="H17" i="12"/>
  <c r="E17" i="12"/>
  <c r="G14" i="11"/>
  <c r="H14" i="11"/>
  <c r="I14" i="11"/>
  <c r="I15" i="11"/>
  <c r="E14" i="11"/>
  <c r="G16" i="13"/>
  <c r="H16" i="13"/>
  <c r="E16" i="13"/>
  <c r="G15" i="12"/>
  <c r="H15" i="12"/>
  <c r="E15" i="12"/>
  <c r="G19" i="13"/>
  <c r="H19" i="13"/>
  <c r="E19" i="13"/>
  <c r="G17" i="13"/>
  <c r="H17" i="13"/>
  <c r="E17" i="13"/>
  <c r="G14" i="19"/>
  <c r="H14" i="19"/>
  <c r="I14" i="19"/>
  <c r="E14" i="19"/>
  <c r="G14" i="10"/>
  <c r="H14" i="10"/>
  <c r="I14" i="10"/>
  <c r="I15" i="10"/>
  <c r="E14" i="10"/>
  <c r="G19" i="10"/>
  <c r="H19" i="10"/>
  <c r="E19" i="10"/>
  <c r="G15" i="19"/>
  <c r="H15" i="19"/>
  <c r="E15" i="19"/>
  <c r="G15" i="13"/>
  <c r="H15" i="13"/>
  <c r="E15" i="13"/>
  <c r="G18" i="18"/>
  <c r="H18" i="18"/>
  <c r="E18" i="18"/>
  <c r="G14" i="15"/>
  <c r="H14" i="15"/>
  <c r="I14" i="15"/>
  <c r="I15" i="15"/>
  <c r="E14" i="15"/>
  <c r="H16" i="21"/>
  <c r="E16" i="21"/>
  <c r="G16" i="15"/>
  <c r="H16" i="15"/>
  <c r="E16" i="15"/>
  <c r="G16" i="20"/>
  <c r="H16" i="20"/>
  <c r="E16" i="20"/>
  <c r="G15" i="22"/>
  <c r="H15" i="22"/>
  <c r="E15" i="22"/>
  <c r="G16" i="18"/>
  <c r="H16" i="18"/>
  <c r="E16" i="18"/>
  <c r="G14" i="20"/>
  <c r="H14" i="20"/>
  <c r="I14" i="20"/>
  <c r="I15" i="20"/>
  <c r="E14" i="20"/>
  <c r="G19" i="21"/>
  <c r="H19" i="21"/>
  <c r="E19" i="21"/>
  <c r="G19" i="12"/>
  <c r="H19" i="12"/>
  <c r="E19" i="12"/>
  <c r="G16" i="9"/>
  <c r="H16" i="9"/>
  <c r="E16" i="9"/>
  <c r="G18" i="12"/>
  <c r="H18" i="12"/>
  <c r="E18" i="12"/>
  <c r="G14" i="21"/>
  <c r="H14" i="21"/>
  <c r="I14" i="21"/>
  <c r="I15" i="21"/>
  <c r="E14" i="21"/>
  <c r="G19" i="15"/>
  <c r="H19" i="15"/>
  <c r="E19" i="15"/>
  <c r="G17" i="15"/>
  <c r="H17" i="15"/>
  <c r="E17" i="15"/>
  <c r="G15" i="18"/>
  <c r="H15" i="18"/>
  <c r="E15" i="18"/>
  <c r="O17" i="7"/>
  <c r="K19" i="2"/>
  <c r="O16" i="7"/>
  <c r="O17" i="6"/>
  <c r="O15" i="7"/>
  <c r="O18" i="7"/>
  <c r="K18" i="2"/>
  <c r="O18" i="6"/>
  <c r="I15" i="14"/>
  <c r="I18" i="14"/>
  <c r="J18" i="14"/>
  <c r="I15" i="12"/>
  <c r="D28" i="25"/>
  <c r="I15" i="22"/>
  <c r="I16" i="22"/>
  <c r="J16" i="22"/>
  <c r="I15" i="13"/>
  <c r="D29" i="25"/>
  <c r="N17" i="2"/>
  <c r="D33" i="25"/>
  <c r="I18" i="10"/>
  <c r="J18" i="10"/>
  <c r="I17" i="10"/>
  <c r="J17" i="10"/>
  <c r="I16" i="10"/>
  <c r="J16" i="10"/>
  <c r="J15" i="10"/>
  <c r="I18" i="15"/>
  <c r="J18" i="15"/>
  <c r="I16" i="15"/>
  <c r="J16" i="15"/>
  <c r="I17" i="15"/>
  <c r="J17" i="15"/>
  <c r="D37" i="25"/>
  <c r="D23" i="25"/>
  <c r="I16" i="20"/>
  <c r="J16" i="20"/>
  <c r="I17" i="20"/>
  <c r="J17" i="20"/>
  <c r="I18" i="20"/>
  <c r="J18" i="20"/>
  <c r="K18" i="20"/>
  <c r="D32" i="25"/>
  <c r="I16" i="9"/>
  <c r="J16" i="9"/>
  <c r="I17" i="9"/>
  <c r="J17" i="9"/>
  <c r="K17" i="9"/>
  <c r="I18" i="9"/>
  <c r="J18" i="9"/>
  <c r="I15" i="19"/>
  <c r="J15" i="19"/>
  <c r="O16" i="6"/>
  <c r="D24" i="25"/>
  <c r="I16" i="21"/>
  <c r="J16" i="21"/>
  <c r="I17" i="21"/>
  <c r="J17" i="21"/>
  <c r="I18" i="21"/>
  <c r="J18" i="21"/>
  <c r="D12" i="25"/>
  <c r="I16" i="11"/>
  <c r="J16" i="11"/>
  <c r="I17" i="11"/>
  <c r="J17" i="11"/>
  <c r="I18" i="11"/>
  <c r="J18" i="11"/>
  <c r="C11" i="25"/>
  <c r="I15" i="18"/>
  <c r="J15" i="18"/>
  <c r="K16" i="2"/>
  <c r="N16" i="2"/>
  <c r="K15" i="2"/>
  <c r="N15" i="2"/>
  <c r="K19" i="6"/>
  <c r="O19" i="6"/>
  <c r="O14" i="7"/>
  <c r="K15" i="9"/>
  <c r="O15" i="9"/>
  <c r="K19" i="8"/>
  <c r="O19" i="8"/>
  <c r="K14" i="8"/>
  <c r="O14" i="8"/>
  <c r="K18" i="8"/>
  <c r="O18" i="8"/>
  <c r="K19" i="7"/>
  <c r="O19" i="7"/>
  <c r="L38" i="25"/>
  <c r="L39" i="25"/>
  <c r="J13" i="3"/>
  <c r="J14" i="9"/>
  <c r="C32" i="25"/>
  <c r="J19" i="4"/>
  <c r="E16" i="25"/>
  <c r="J14" i="6"/>
  <c r="C17" i="25"/>
  <c r="J15" i="21"/>
  <c r="J15" i="15"/>
  <c r="J15" i="20"/>
  <c r="C22" i="25"/>
  <c r="J15" i="11"/>
  <c r="O18" i="20"/>
  <c r="D25" i="25"/>
  <c r="I18" i="22"/>
  <c r="J18" i="22"/>
  <c r="K18" i="22"/>
  <c r="J15" i="22"/>
  <c r="O15" i="22"/>
  <c r="I17" i="12"/>
  <c r="J17" i="12"/>
  <c r="O17" i="12"/>
  <c r="J15" i="12"/>
  <c r="K15" i="12"/>
  <c r="I17" i="22"/>
  <c r="J17" i="22"/>
  <c r="K17" i="22"/>
  <c r="I18" i="13"/>
  <c r="J18" i="13"/>
  <c r="K18" i="13"/>
  <c r="I16" i="13"/>
  <c r="J16" i="13"/>
  <c r="O16" i="13"/>
  <c r="J15" i="13"/>
  <c r="O15" i="13"/>
  <c r="I17" i="13"/>
  <c r="J17" i="13"/>
  <c r="O17" i="13"/>
  <c r="I16" i="12"/>
  <c r="J16" i="12"/>
  <c r="K16" i="12"/>
  <c r="I18" i="12"/>
  <c r="J18" i="12"/>
  <c r="K18" i="12"/>
  <c r="O17" i="9"/>
  <c r="I17" i="14"/>
  <c r="J17" i="14"/>
  <c r="K17" i="14"/>
  <c r="D36" i="25"/>
  <c r="J15" i="14"/>
  <c r="O15" i="14"/>
  <c r="I16" i="14"/>
  <c r="J16" i="14"/>
  <c r="K16" i="14"/>
  <c r="I16" i="18"/>
  <c r="J16" i="18"/>
  <c r="K16" i="18"/>
  <c r="I17" i="18"/>
  <c r="J17" i="18"/>
  <c r="K17" i="18"/>
  <c r="I18" i="18"/>
  <c r="J18" i="18"/>
  <c r="K18" i="18"/>
  <c r="D11" i="25"/>
  <c r="I16" i="19"/>
  <c r="J16" i="19"/>
  <c r="O16" i="19"/>
  <c r="I17" i="19"/>
  <c r="J17" i="19"/>
  <c r="K17" i="19"/>
  <c r="I18" i="19"/>
  <c r="J18" i="19"/>
  <c r="K18" i="19"/>
  <c r="D22" i="25"/>
  <c r="K18" i="10"/>
  <c r="O18" i="10"/>
  <c r="K15" i="10"/>
  <c r="O15" i="10"/>
  <c r="O20" i="8"/>
  <c r="G19" i="25"/>
  <c r="H19" i="25"/>
  <c r="I19" i="25"/>
  <c r="O20" i="7"/>
  <c r="P21" i="7"/>
  <c r="Q21" i="7"/>
  <c r="K18" i="11"/>
  <c r="N18" i="11"/>
  <c r="K14" i="2"/>
  <c r="K16" i="11"/>
  <c r="N16" i="11"/>
  <c r="K15" i="18"/>
  <c r="N15" i="18"/>
  <c r="K17" i="11"/>
  <c r="N17" i="11"/>
  <c r="K15" i="11"/>
  <c r="N15" i="11"/>
  <c r="K18" i="21"/>
  <c r="O18" i="21"/>
  <c r="K19" i="4"/>
  <c r="O19" i="4"/>
  <c r="K18" i="9"/>
  <c r="O18" i="9"/>
  <c r="K15" i="19"/>
  <c r="O15" i="19"/>
  <c r="K16" i="20"/>
  <c r="O16" i="20"/>
  <c r="K17" i="20"/>
  <c r="O17" i="20"/>
  <c r="K18" i="14"/>
  <c r="O18" i="14"/>
  <c r="K16" i="22"/>
  <c r="O16" i="22"/>
  <c r="K18" i="15"/>
  <c r="O18" i="15"/>
  <c r="K17" i="10"/>
  <c r="O17" i="10"/>
  <c r="K16" i="21"/>
  <c r="O16" i="21"/>
  <c r="K16" i="10"/>
  <c r="O16" i="10"/>
  <c r="K15" i="20"/>
  <c r="O15" i="20"/>
  <c r="K15" i="15"/>
  <c r="O15" i="15"/>
  <c r="K16" i="9"/>
  <c r="O16" i="9"/>
  <c r="K14" i="9"/>
  <c r="O14" i="9"/>
  <c r="K17" i="12"/>
  <c r="K17" i="21"/>
  <c r="O17" i="21"/>
  <c r="K15" i="21"/>
  <c r="O15" i="21"/>
  <c r="K16" i="15"/>
  <c r="O16" i="15"/>
  <c r="K14" i="6"/>
  <c r="O14" i="6"/>
  <c r="O20" i="6"/>
  <c r="K17" i="15"/>
  <c r="O17" i="15"/>
  <c r="J14" i="3"/>
  <c r="J19" i="10"/>
  <c r="E33" i="25"/>
  <c r="J14" i="10"/>
  <c r="C33" i="25"/>
  <c r="J14" i="15"/>
  <c r="C37" i="25"/>
  <c r="J19" i="15"/>
  <c r="E37" i="25"/>
  <c r="C39" i="25"/>
  <c r="E39" i="25"/>
  <c r="E38" i="25"/>
  <c r="C38" i="25"/>
  <c r="J14" i="14"/>
  <c r="C36" i="25"/>
  <c r="J19" i="14"/>
  <c r="E36" i="25"/>
  <c r="J19" i="9"/>
  <c r="E32" i="25"/>
  <c r="J19" i="20"/>
  <c r="E23" i="25"/>
  <c r="J14" i="20"/>
  <c r="C23" i="25"/>
  <c r="J14" i="22"/>
  <c r="C25" i="25"/>
  <c r="J19" i="22"/>
  <c r="E25" i="25"/>
  <c r="J14" i="13"/>
  <c r="C29" i="25"/>
  <c r="J19" i="13"/>
  <c r="E29" i="25"/>
  <c r="J14" i="21"/>
  <c r="C24" i="25"/>
  <c r="J19" i="21"/>
  <c r="E24" i="25"/>
  <c r="J19" i="19"/>
  <c r="E22" i="25"/>
  <c r="J14" i="19"/>
  <c r="J14" i="12"/>
  <c r="C28" i="25"/>
  <c r="J19" i="12"/>
  <c r="E28" i="25"/>
  <c r="J19" i="18"/>
  <c r="E11" i="25"/>
  <c r="J14" i="11"/>
  <c r="C12" i="25"/>
  <c r="J19" i="11"/>
  <c r="E12" i="25"/>
  <c r="K17" i="13"/>
  <c r="K15" i="22"/>
  <c r="O18" i="12"/>
  <c r="K16" i="13"/>
  <c r="O18" i="22"/>
  <c r="O15" i="12"/>
  <c r="N18" i="18"/>
  <c r="K16" i="19"/>
  <c r="N16" i="18"/>
  <c r="K15" i="13"/>
  <c r="O18" i="13"/>
  <c r="O17" i="22"/>
  <c r="N17" i="18"/>
  <c r="K15" i="14"/>
  <c r="O16" i="12"/>
  <c r="O17" i="14"/>
  <c r="O16" i="14"/>
  <c r="O18" i="19"/>
  <c r="O17" i="19"/>
  <c r="P21" i="8"/>
  <c r="Q21" i="8"/>
  <c r="C35" i="8"/>
  <c r="G18" i="25"/>
  <c r="H18" i="25"/>
  <c r="I18" i="25"/>
  <c r="K19" i="18"/>
  <c r="N19" i="18"/>
  <c r="K14" i="11"/>
  <c r="N14" i="11"/>
  <c r="N14" i="18"/>
  <c r="K19" i="11"/>
  <c r="N19" i="11"/>
  <c r="K19" i="10"/>
  <c r="O19" i="10"/>
  <c r="K14" i="13"/>
  <c r="O14" i="13"/>
  <c r="P21" i="6"/>
  <c r="Q21" i="6"/>
  <c r="G17" i="25"/>
  <c r="H17" i="25"/>
  <c r="I17" i="25"/>
  <c r="K14" i="21"/>
  <c r="O14" i="21"/>
  <c r="K19" i="13"/>
  <c r="O19" i="13"/>
  <c r="K19" i="9"/>
  <c r="O19" i="9"/>
  <c r="O20" i="9"/>
  <c r="K14" i="12"/>
  <c r="O14" i="12"/>
  <c r="K19" i="15"/>
  <c r="O19" i="15"/>
  <c r="K19" i="19"/>
  <c r="O19" i="19"/>
  <c r="K19" i="22"/>
  <c r="O19" i="22"/>
  <c r="K14" i="14"/>
  <c r="O14" i="14"/>
  <c r="K14" i="15"/>
  <c r="O14" i="15"/>
  <c r="K14" i="20"/>
  <c r="O14" i="20"/>
  <c r="K19" i="20"/>
  <c r="O19" i="20"/>
  <c r="B35" i="7"/>
  <c r="B37" i="7"/>
  <c r="B38" i="7"/>
  <c r="K18" i="25"/>
  <c r="L18" i="25"/>
  <c r="C35" i="7"/>
  <c r="K14" i="19"/>
  <c r="O14" i="19"/>
  <c r="K19" i="14"/>
  <c r="O19" i="14"/>
  <c r="K19" i="21"/>
  <c r="O19" i="21"/>
  <c r="K14" i="22"/>
  <c r="O14" i="22"/>
  <c r="K14" i="10"/>
  <c r="O14" i="10"/>
  <c r="K19" i="12"/>
  <c r="O19" i="12"/>
  <c r="J15" i="3"/>
  <c r="G39" i="25"/>
  <c r="H39" i="25"/>
  <c r="I39" i="25"/>
  <c r="G38" i="25"/>
  <c r="H38" i="25"/>
  <c r="I38" i="25"/>
  <c r="C37" i="8"/>
  <c r="C38" i="8"/>
  <c r="C37" i="7"/>
  <c r="C38" i="7"/>
  <c r="O20" i="12"/>
  <c r="P21" i="12"/>
  <c r="Q21" i="12"/>
  <c r="C35" i="12"/>
  <c r="C37" i="12"/>
  <c r="C38" i="12"/>
  <c r="O20" i="21"/>
  <c r="P21" i="21"/>
  <c r="Q21" i="21"/>
  <c r="B35" i="21"/>
  <c r="N20" i="18"/>
  <c r="O21" i="18"/>
  <c r="P21" i="18"/>
  <c r="D35" i="18"/>
  <c r="D37" i="18"/>
  <c r="D38" i="18"/>
  <c r="K11" i="25"/>
  <c r="L11" i="25"/>
  <c r="O20" i="10"/>
  <c r="G33" i="25"/>
  <c r="H33" i="25"/>
  <c r="I33" i="25"/>
  <c r="B35" i="8"/>
  <c r="O20" i="22"/>
  <c r="O20" i="13"/>
  <c r="P21" i="13"/>
  <c r="Q21" i="13"/>
  <c r="B35" i="13"/>
  <c r="N20" i="11"/>
  <c r="P21" i="9"/>
  <c r="Q21" i="9"/>
  <c r="G32" i="25"/>
  <c r="H32" i="25"/>
  <c r="I32" i="25"/>
  <c r="B35" i="6"/>
  <c r="C35" i="6"/>
  <c r="C37" i="6"/>
  <c r="C38" i="6"/>
  <c r="O20" i="14"/>
  <c r="O20" i="20"/>
  <c r="O20" i="15"/>
  <c r="O20" i="19"/>
  <c r="J16" i="3"/>
  <c r="B37" i="21"/>
  <c r="B38" i="21"/>
  <c r="B37" i="8"/>
  <c r="B38" i="8"/>
  <c r="B37" i="6"/>
  <c r="G11" i="25"/>
  <c r="H11" i="25"/>
  <c r="I11" i="25"/>
  <c r="B35" i="18"/>
  <c r="B37" i="18"/>
  <c r="B38" i="18"/>
  <c r="B35" i="12"/>
  <c r="B37" i="12"/>
  <c r="G28" i="25"/>
  <c r="H28" i="25"/>
  <c r="I28" i="25"/>
  <c r="C35" i="18"/>
  <c r="C37" i="18"/>
  <c r="C38" i="18"/>
  <c r="G24" i="25"/>
  <c r="H24" i="25"/>
  <c r="I24" i="25"/>
  <c r="C35" i="21"/>
  <c r="C37" i="21"/>
  <c r="C38" i="21"/>
  <c r="P21" i="10"/>
  <c r="Q21" i="10"/>
  <c r="B35" i="10"/>
  <c r="B37" i="10"/>
  <c r="B38" i="10"/>
  <c r="K33" i="25"/>
  <c r="L33" i="25"/>
  <c r="G25" i="25"/>
  <c r="H25" i="25"/>
  <c r="I25" i="25"/>
  <c r="P21" i="22"/>
  <c r="Q21" i="22"/>
  <c r="G29" i="25"/>
  <c r="H29" i="25"/>
  <c r="I29" i="25"/>
  <c r="C35" i="13"/>
  <c r="C37" i="13"/>
  <c r="C38" i="13"/>
  <c r="O21" i="11"/>
  <c r="P21" i="11"/>
  <c r="G12" i="25"/>
  <c r="H12" i="25"/>
  <c r="I12" i="25"/>
  <c r="P21" i="19"/>
  <c r="Q21" i="19"/>
  <c r="G22" i="25"/>
  <c r="H22" i="25"/>
  <c r="I22" i="25"/>
  <c r="P21" i="15"/>
  <c r="Q21" i="15"/>
  <c r="G37" i="25"/>
  <c r="H37" i="25"/>
  <c r="I37" i="25"/>
  <c r="P21" i="20"/>
  <c r="Q21" i="20"/>
  <c r="G23" i="25"/>
  <c r="H23" i="25"/>
  <c r="I23" i="25"/>
  <c r="G36" i="25"/>
  <c r="H36" i="25"/>
  <c r="I36" i="25"/>
  <c r="P21" i="14"/>
  <c r="Q21" i="14"/>
  <c r="B35" i="9"/>
  <c r="C35" i="9"/>
  <c r="C37" i="9"/>
  <c r="C38" i="9"/>
  <c r="J17" i="3"/>
  <c r="B37" i="13"/>
  <c r="K19" i="25"/>
  <c r="L19" i="25"/>
  <c r="B38" i="12"/>
  <c r="K28" i="25"/>
  <c r="L28" i="25"/>
  <c r="B37" i="9"/>
  <c r="B38" i="9"/>
  <c r="K24" i="25"/>
  <c r="L24" i="25"/>
  <c r="B38" i="6"/>
  <c r="K17" i="25"/>
  <c r="L17" i="25"/>
  <c r="B38" i="13"/>
  <c r="K29" i="25"/>
  <c r="L29" i="25"/>
  <c r="C35" i="10"/>
  <c r="C37" i="10"/>
  <c r="C38" i="10"/>
  <c r="B35" i="22"/>
  <c r="C35" i="22"/>
  <c r="D35" i="11"/>
  <c r="D37" i="11"/>
  <c r="D38" i="11"/>
  <c r="K12" i="25"/>
  <c r="L12" i="25"/>
  <c r="B35" i="11"/>
  <c r="C35" i="11"/>
  <c r="C37" i="11"/>
  <c r="C38" i="11"/>
  <c r="C35" i="14"/>
  <c r="C37" i="14"/>
  <c r="C38" i="14"/>
  <c r="B35" i="14"/>
  <c r="B35" i="15"/>
  <c r="B37" i="15"/>
  <c r="B38" i="15"/>
  <c r="K37" i="25"/>
  <c r="L37" i="25"/>
  <c r="C35" i="15"/>
  <c r="C37" i="15"/>
  <c r="C38" i="15"/>
  <c r="C35" i="20"/>
  <c r="C37" i="20"/>
  <c r="C38" i="20"/>
  <c r="B35" i="20"/>
  <c r="B37" i="20"/>
  <c r="B38" i="20"/>
  <c r="K23" i="25"/>
  <c r="L23" i="25"/>
  <c r="C35" i="19"/>
  <c r="C37" i="19"/>
  <c r="C38" i="19"/>
  <c r="B35" i="19"/>
  <c r="J18" i="3"/>
  <c r="B37" i="11"/>
  <c r="B38" i="11"/>
  <c r="B37" i="19"/>
  <c r="C37" i="22"/>
  <c r="C38" i="22"/>
  <c r="K32" i="25"/>
  <c r="L32" i="25"/>
  <c r="B37" i="22"/>
  <c r="B38" i="22"/>
  <c r="B37" i="14"/>
  <c r="B38" i="14"/>
  <c r="J19" i="3"/>
  <c r="K36" i="25"/>
  <c r="L36" i="25"/>
  <c r="K25" i="25"/>
  <c r="L25" i="25"/>
  <c r="B38" i="19"/>
  <c r="K22" i="25"/>
  <c r="L22" i="25"/>
  <c r="J20" i="3"/>
  <c r="J21" i="3"/>
  <c r="J22" i="3"/>
  <c r="J23" i="3"/>
  <c r="G10" i="25" l="1"/>
  <c r="H10" i="25" s="1"/>
  <c r="I10" i="25" s="1"/>
  <c r="O21" i="2"/>
  <c r="P21" i="2" s="1"/>
  <c r="K14" i="4"/>
  <c r="O14" i="4"/>
  <c r="J15" i="4"/>
  <c r="C16" i="25"/>
  <c r="I17" i="4"/>
  <c r="J17" i="4" s="1"/>
  <c r="I18" i="4"/>
  <c r="J18" i="4" s="1"/>
  <c r="I16" i="4"/>
  <c r="J16" i="4" s="1"/>
  <c r="O16" i="4" l="1"/>
  <c r="K16" i="4"/>
  <c r="K18" i="4"/>
  <c r="O18" i="4"/>
  <c r="O17" i="4"/>
  <c r="K17" i="4"/>
  <c r="O15" i="4"/>
  <c r="O20" i="4" s="1"/>
  <c r="K15" i="4"/>
  <c r="B35" i="2"/>
  <c r="D35" i="2"/>
  <c r="C35" i="2"/>
  <c r="P21" i="4" l="1"/>
  <c r="Q21" i="4" s="1"/>
  <c r="G16" i="25"/>
  <c r="H16" i="25" s="1"/>
  <c r="I16" i="25" s="1"/>
  <c r="C37" i="2"/>
  <c r="C38" i="2" s="1"/>
  <c r="D37" i="2"/>
  <c r="D38" i="2"/>
  <c r="K10" i="25" s="1"/>
  <c r="L10" i="25" s="1"/>
  <c r="B37" i="2"/>
  <c r="B38" i="2"/>
  <c r="B35" i="4" l="1"/>
  <c r="C35" i="4"/>
  <c r="C37" i="4" l="1"/>
  <c r="C38" i="4" s="1"/>
  <c r="B37" i="4"/>
  <c r="B38" i="4" s="1"/>
  <c r="K16" i="25" s="1"/>
  <c r="L16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tc={88F620E6-B6C1-45EA-BD3C-25EBA41EB5F5}</author>
  </authors>
  <commentList>
    <comment ref="D13" authorId="0" shapeId="0" xr:uid="{88F620E6-B6C1-45EA-BD3C-25EBA41EB5F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Annual Bill = (monthly usage * average total volumetric charge )+ avg customer charge) *12
</t>
      </text>
    </comment>
  </commentList>
</comments>
</file>

<file path=xl/sharedStrings.xml><?xml version="1.0" encoding="utf-8"?>
<sst xmlns="http://schemas.openxmlformats.org/spreadsheetml/2006/main" count="947" uniqueCount="234">
  <si>
    <t>Federal Poverty Level Limits</t>
  </si>
  <si>
    <t xml:space="preserve">Original </t>
  </si>
  <si>
    <t>Midpoint (calculated)</t>
  </si>
  <si>
    <t>Household Size</t>
  </si>
  <si>
    <r>
      <t xml:space="preserve">0% to </t>
    </r>
    <r>
      <rPr>
        <sz val="11"/>
        <color theme="1"/>
        <rFont val="Aptos Narrow"/>
        <family val="2"/>
      </rPr>
      <t>≤</t>
    </r>
    <r>
      <rPr>
        <sz val="11"/>
        <color theme="1"/>
        <rFont val="Aptos Narrow"/>
        <family val="2"/>
        <scheme val="minor"/>
      </rPr>
      <t>100% FPL</t>
    </r>
  </si>
  <si>
    <t>&gt; 100% to ≤ 125% FPL</t>
  </si>
  <si>
    <t>&gt; 125% to ≤ 150% FPL</t>
  </si>
  <si>
    <t>&gt; 150% to ≤ 175% FPL</t>
  </si>
  <si>
    <t>&gt; 175 to ≤ 200% FPL</t>
  </si>
  <si>
    <t xml:space="preserve">&gt; 200% FPL to ≤ 60% SMI </t>
  </si>
  <si>
    <t>Source (other than 1.5, 2.5, 3.5): Fiscal Year 2025 Home Energy Assistance Program (“HEAP  ”) Income Eligibility and Benefit Levels</t>
  </si>
  <si>
    <t>Source for 1.5, 2.5, 3.5: Calculated based on Household sized 1, 2, 3, and 4</t>
  </si>
  <si>
    <t>less than 100% FPL</t>
  </si>
  <si>
    <t>100%-125%</t>
  </si>
  <si>
    <t>125%-150%</t>
  </si>
  <si>
    <t>150%-175%</t>
  </si>
  <si>
    <t>175%-200%</t>
  </si>
  <si>
    <t>200% FPL to 60% SMI</t>
  </si>
  <si>
    <t>Electric customer count</t>
  </si>
  <si>
    <t>Source: DPU 2-2</t>
  </si>
  <si>
    <t>R2</t>
  </si>
  <si>
    <t>R1</t>
  </si>
  <si>
    <t>Current discount</t>
  </si>
  <si>
    <t xml:space="preserve">Eversource </t>
  </si>
  <si>
    <t xml:space="preserve">National Grid </t>
  </si>
  <si>
    <t xml:space="preserve">Unitil </t>
  </si>
  <si>
    <t>Electric low income use (monthly)</t>
  </si>
  <si>
    <t>Statewide</t>
  </si>
  <si>
    <t>median</t>
  </si>
  <si>
    <t>typical</t>
  </si>
  <si>
    <t>mean (approx 70%)</t>
  </si>
  <si>
    <t>Gas customer count</t>
  </si>
  <si>
    <t>Source: DPU 3-3 (Off-Peak)</t>
  </si>
  <si>
    <t>R1 NH</t>
  </si>
  <si>
    <t>R2 NH</t>
  </si>
  <si>
    <t>R3 H</t>
  </si>
  <si>
    <t>R4 H</t>
  </si>
  <si>
    <t>Eversource (NSTAR)</t>
  </si>
  <si>
    <t>Eversource (EGMA)</t>
  </si>
  <si>
    <t>National Grid (Bos)</t>
  </si>
  <si>
    <t>National Grid (Col)</t>
  </si>
  <si>
    <t>Liberty</t>
  </si>
  <si>
    <t>Berkshire</t>
  </si>
  <si>
    <t>Usage</t>
  </si>
  <si>
    <t>Source: DPU 3-3</t>
  </si>
  <si>
    <t>Unitil</t>
  </si>
  <si>
    <t>National Grid</t>
  </si>
  <si>
    <t>NSTAR</t>
  </si>
  <si>
    <t>EGMA</t>
  </si>
  <si>
    <t>Berk</t>
  </si>
  <si>
    <t>Median Gas Use (monthly)</t>
  </si>
  <si>
    <t>R-2 Peak</t>
  </si>
  <si>
    <t>R-4 Peak</t>
  </si>
  <si>
    <t>R-2 Off Peak</t>
  </si>
  <si>
    <t>R-4 Off Peak</t>
  </si>
  <si>
    <t>70% usage (approximates mean) (monthly)</t>
  </si>
  <si>
    <t>R-2 Peak 70%</t>
  </si>
  <si>
    <t>R-4 Peak 70%</t>
  </si>
  <si>
    <t>R-2 Off Peak 70%</t>
  </si>
  <si>
    <t>R-4 Off Peak 70%</t>
  </si>
  <si>
    <t>typical (frequently used bill impact assumptions) (monthly)</t>
  </si>
  <si>
    <t>R-4 typical peak</t>
  </si>
  <si>
    <t>R-4 typical off-peak</t>
  </si>
  <si>
    <t>R-2 typical</t>
  </si>
  <si>
    <t>FOR USAGE DROP DOWN</t>
  </si>
  <si>
    <t>median company</t>
  </si>
  <si>
    <t>median statewide</t>
  </si>
  <si>
    <t>mean company</t>
  </si>
  <si>
    <t>mean statewide</t>
  </si>
  <si>
    <t>Assumptions:</t>
  </si>
  <si>
    <t xml:space="preserve">gas bills effective </t>
  </si>
  <si>
    <t>5/1/24 and 11/1/24</t>
  </si>
  <si>
    <t xml:space="preserve">electric bills effective </t>
  </si>
  <si>
    <t>7/1/24 and 1/1/25</t>
  </si>
  <si>
    <t>usage (gas)</t>
  </si>
  <si>
    <t>electric burden</t>
  </si>
  <si>
    <t>usage (electric)</t>
  </si>
  <si>
    <t>gas heat burden</t>
  </si>
  <si>
    <t>Household size</t>
  </si>
  <si>
    <t>gas non-heat burden</t>
  </si>
  <si>
    <r>
      <t>cost at current discount</t>
    </r>
    <r>
      <rPr>
        <sz val="11"/>
        <color theme="1"/>
        <rFont val="Aptos Narrow"/>
        <family val="2"/>
        <scheme val="minor"/>
      </rPr>
      <t xml:space="preserve"> ($1000s)</t>
    </r>
  </si>
  <si>
    <r>
      <t xml:space="preserve">cost at tiered discount </t>
    </r>
    <r>
      <rPr>
        <sz val="11"/>
        <color theme="1"/>
        <rFont val="Aptos Narrow"/>
        <family val="2"/>
        <scheme val="minor"/>
      </rPr>
      <t>($1000s)</t>
    </r>
  </si>
  <si>
    <r>
      <t xml:space="preserve">increase for tiered discount </t>
    </r>
    <r>
      <rPr>
        <sz val="11"/>
        <color theme="1"/>
        <rFont val="Aptos Narrow"/>
        <family val="2"/>
        <scheme val="minor"/>
      </rPr>
      <t>($1000s)</t>
    </r>
  </si>
  <si>
    <t>cost increase for tiered discount (%)</t>
  </si>
  <si>
    <t>current RAAF % volumetric rates</t>
  </si>
  <si>
    <r>
      <rPr>
        <b/>
        <i/>
        <sz val="11"/>
        <color theme="1"/>
        <rFont val="Aptos Narrow"/>
        <family val="2"/>
        <scheme val="minor"/>
      </rPr>
      <t>Very</t>
    </r>
    <r>
      <rPr>
        <b/>
        <sz val="11"/>
        <color theme="1"/>
        <rFont val="Aptos Narrow"/>
        <family val="2"/>
        <scheme val="minor"/>
      </rPr>
      <t xml:space="preserve"> Rough estimated bill impact</t>
    </r>
  </si>
  <si>
    <t>ELECTRIC</t>
  </si>
  <si>
    <r>
      <t>NSTAR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(42%)</t>
    </r>
  </si>
  <si>
    <r>
      <t>National Grid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(32%)</t>
    </r>
  </si>
  <si>
    <r>
      <t xml:space="preserve">Unitil </t>
    </r>
    <r>
      <rPr>
        <i/>
        <sz val="11"/>
        <color theme="1"/>
        <rFont val="Aptos Narrow"/>
        <family val="2"/>
        <scheme val="minor"/>
      </rPr>
      <t>(40%)</t>
    </r>
  </si>
  <si>
    <t>GAS</t>
  </si>
  <si>
    <r>
      <t xml:space="preserve">Eversource </t>
    </r>
    <r>
      <rPr>
        <i/>
        <sz val="11"/>
        <color theme="1"/>
        <rFont val="Aptos Narrow"/>
        <family val="2"/>
        <scheme val="minor"/>
      </rPr>
      <t>(25%)</t>
    </r>
  </si>
  <si>
    <t>NSTAR Heating</t>
  </si>
  <si>
    <t>NSTAR Non-heating</t>
  </si>
  <si>
    <t>EGMA Heating</t>
  </si>
  <si>
    <t>EGMA Non-heating</t>
  </si>
  <si>
    <r>
      <t>National Grid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(25%)</t>
    </r>
  </si>
  <si>
    <t>Boston Gas Heating</t>
  </si>
  <si>
    <t>Boston Gas Non-heating</t>
  </si>
  <si>
    <t>Colonial Gas Heating</t>
  </si>
  <si>
    <t>Colonial Gas Non-heating</t>
  </si>
  <si>
    <r>
      <t xml:space="preserve">Unitil </t>
    </r>
    <r>
      <rPr>
        <i/>
        <sz val="11"/>
        <color theme="1"/>
        <rFont val="Aptos Narrow"/>
        <family val="2"/>
        <scheme val="minor"/>
      </rPr>
      <t>(25%)</t>
    </r>
  </si>
  <si>
    <t>Fitchburg Heating</t>
  </si>
  <si>
    <r>
      <t>Berkshire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(25%)</t>
    </r>
  </si>
  <si>
    <t>Berkshire Heating</t>
  </si>
  <si>
    <t>Berkshire Non-heating</t>
  </si>
  <si>
    <r>
      <t>Liberty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(25%)</t>
    </r>
  </si>
  <si>
    <t>NE Gas Heating</t>
  </si>
  <si>
    <t>NE Gas Non-heating</t>
  </si>
  <si>
    <t>Blackstone Heating</t>
  </si>
  <si>
    <t>Blackstone Non-heating</t>
  </si>
  <si>
    <t>SOURCES</t>
  </si>
  <si>
    <t>electric customer count</t>
  </si>
  <si>
    <t>DPU 2-2</t>
  </si>
  <si>
    <t>gas customer count</t>
  </si>
  <si>
    <t>DPU 3-3 (off-peak)</t>
  </si>
  <si>
    <t>customer distribution</t>
  </si>
  <si>
    <t>NOTES</t>
  </si>
  <si>
    <t>R-4 gas typical peak</t>
  </si>
  <si>
    <t>125 therms</t>
  </si>
  <si>
    <t>R-4 gas typical off-peak</t>
  </si>
  <si>
    <t>25 therms</t>
  </si>
  <si>
    <t>R-2 gas typical</t>
  </si>
  <si>
    <t>15 therms</t>
  </si>
  <si>
    <t>R-2 electric typical</t>
  </si>
  <si>
    <t>600 kWh</t>
  </si>
  <si>
    <t>household income assumed to be middle of tier</t>
  </si>
  <si>
    <t>NSTAR Electric R2</t>
  </si>
  <si>
    <t>User Inputs from SUMMARY sheet</t>
  </si>
  <si>
    <t>Enter Household Size:</t>
  </si>
  <si>
    <t>Enter Monthly Electric Usage (kWh):</t>
  </si>
  <si>
    <t>Enter Target Energy Burden %:</t>
  </si>
  <si>
    <t>NSTAR Electric Company</t>
  </si>
  <si>
    <t>d/b/a Eversource Energy</t>
  </si>
  <si>
    <t>Residential Low Income R-2</t>
  </si>
  <si>
    <t xml:space="preserve">Tier Range </t>
  </si>
  <si>
    <t>Residential Low-income Customers
(a)</t>
  </si>
  <si>
    <t>Income Limits ($)
(b)</t>
  </si>
  <si>
    <t>Annual Bill ($)
(c)</t>
  </si>
  <si>
    <t>Energy Burden (%)
(d)</t>
  </si>
  <si>
    <t>Target Energy Burden (%)
(e)</t>
  </si>
  <si>
    <t>Annual Bill @ Target Energy Burden ($)
(f)</t>
  </si>
  <si>
    <t>Discount Needed ($)
(g)</t>
  </si>
  <si>
    <t>Discount Rate (%)
(h)</t>
  </si>
  <si>
    <t>Bill After Discount ($)
(i)</t>
  </si>
  <si>
    <t>Energy Burden after Discount (%)
(j)</t>
  </si>
  <si>
    <t>Household Size
(k)</t>
  </si>
  <si>
    <t>Monthly Usage (kWh)
(l)</t>
  </si>
  <si>
    <t>Total Cost of Tiered  Discount</t>
  </si>
  <si>
    <t>Total Cost at Current Discount</t>
  </si>
  <si>
    <t>&gt; 175% to ≤ 200% FPL</t>
  </si>
  <si>
    <t>Total</t>
  </si>
  <si>
    <t>Residential (Rate R-1) (DPU 3-2)</t>
  </si>
  <si>
    <t>Avg. Rate</t>
  </si>
  <si>
    <t>Customer Charge</t>
  </si>
  <si>
    <t>RAAF $/kWh</t>
  </si>
  <si>
    <t>Other Delivery  $/kWh</t>
  </si>
  <si>
    <t>Supply  $/KWh</t>
  </si>
  <si>
    <t>Total Volumetric w/o RAAF $/kWh</t>
  </si>
  <si>
    <t>Total Volumetric w/ RAAF $/kWh</t>
  </si>
  <si>
    <t>RAAF % of total volumetric rate</t>
  </si>
  <si>
    <t>Estimated % of volumetric rate under tiered discount</t>
  </si>
  <si>
    <t>New illustrative RAAF</t>
  </si>
  <si>
    <t>New Volumetric with RAAF $/kWh</t>
  </si>
  <si>
    <t>RAAF % of total new volumetric rate</t>
  </si>
  <si>
    <t>FGE Electric R2</t>
  </si>
  <si>
    <t>Fitchburg Gas and Electric Light Company</t>
  </si>
  <si>
    <t>d/b/a Unitil Electric</t>
  </si>
  <si>
    <t>Total Cost of Discount</t>
  </si>
  <si>
    <t>Increase</t>
  </si>
  <si>
    <t>Fitchburg Gas and Electric Light Company (DPU 3-2)</t>
  </si>
  <si>
    <t>Electric Residential (Rate RD-1)</t>
  </si>
  <si>
    <t>Delivery $/kWh</t>
  </si>
  <si>
    <t>NGrid Meco Electric R2</t>
  </si>
  <si>
    <t xml:space="preserve">Massachusetts Electric Company and Nantucket Electric Company </t>
  </si>
  <si>
    <t>each d/b/a National Grid</t>
  </si>
  <si>
    <t>Massachusetts Electric R-1 (DPU 3-2)</t>
  </si>
  <si>
    <t>Residential Rate (R-1)</t>
  </si>
  <si>
    <t>NSTAR Gas H R4</t>
  </si>
  <si>
    <t>Enter Monthly Gas Usage (Winter) (therms):</t>
  </si>
  <si>
    <t>Enter Monthly Gas Usage (Summer) (therms):</t>
  </si>
  <si>
    <t>NSTAR Gas Company</t>
  </si>
  <si>
    <t xml:space="preserve">d/b/a Eversource Energy </t>
  </si>
  <si>
    <t>Residential Low Income Heating Customers R-4</t>
  </si>
  <si>
    <t>Winter Monthly Usage (therms)
(l)</t>
  </si>
  <si>
    <t>Summer Monthly Usage (therms)
(m)</t>
  </si>
  <si>
    <t>NSTAR Gas Company (DPU 3-2)</t>
  </si>
  <si>
    <t>Residential Heating (Rate R-3)</t>
  </si>
  <si>
    <t>RAAF $/therm</t>
  </si>
  <si>
    <t>Delivery $/therm</t>
  </si>
  <si>
    <t>Supply  $/therm</t>
  </si>
  <si>
    <t>Total Volumetric w/o RAAF $/therm</t>
  </si>
  <si>
    <t>Total Volumetric w/ RAAF $/therm</t>
  </si>
  <si>
    <t>Estimated % of bill under tiered discount</t>
  </si>
  <si>
    <t>New Volumetric with RAAF $/therm</t>
  </si>
  <si>
    <t>NSTAR Gas NH R2</t>
  </si>
  <si>
    <t>Residential Low Income Non-Heating Customers R-2</t>
  </si>
  <si>
    <t>Residential Non Heating (Rate R-1)</t>
  </si>
  <si>
    <t>EGMA Gas H R4</t>
  </si>
  <si>
    <t>Eversource Gas Company of Massachusetts</t>
  </si>
  <si>
    <t>Eversource Gas Company of Massachusetts (EGMA) (DPU 3-2)</t>
  </si>
  <si>
    <t>EGMA Gas NH R2</t>
  </si>
  <si>
    <t>Residential Non-Heating (Rate R-1)</t>
  </si>
  <si>
    <t>BGC H R4</t>
  </si>
  <si>
    <t>Berkshire Gas Company</t>
  </si>
  <si>
    <t>Berkshire Gas Company (DPU 3-2)</t>
  </si>
  <si>
    <t>BGC NH R2</t>
  </si>
  <si>
    <t>FGE Gas H R4</t>
  </si>
  <si>
    <t>FGE Gas NH R2</t>
  </si>
  <si>
    <t>LIB NGE H R4</t>
  </si>
  <si>
    <t>Liberty Utilities Corp.</t>
  </si>
  <si>
    <t>d/b/a Liberty</t>
  </si>
  <si>
    <t>Liberty's Fall River and North Attleboro Service Area Residential Low Income Heating R-4</t>
  </si>
  <si>
    <t>Liberty (Fall River/North Attleboro (NEG)  (DPU 3-2)</t>
  </si>
  <si>
    <t>LIB NGE NH R2</t>
  </si>
  <si>
    <t>Liberty's Fall River and North Attleboro Service Area Residential Low Income Non-Heating R-2</t>
  </si>
  <si>
    <t>Liberty (Fall River/North Attleboro (NEG) (DPU 3-2)</t>
  </si>
  <si>
    <t>NGrid Gas BG H R4</t>
  </si>
  <si>
    <t>Boston Gas Company</t>
  </si>
  <si>
    <t>d/b/a National Grid</t>
  </si>
  <si>
    <t>Residential Low Income Heating R-4</t>
  </si>
  <si>
    <t>Boston Gas (DPU 3-2)</t>
  </si>
  <si>
    <t>NGrid Gas BG NH R2</t>
  </si>
  <si>
    <t>Residential Low Income Non-Heating R-2</t>
  </si>
  <si>
    <t>NGrid Gas CG H R4</t>
  </si>
  <si>
    <t>Colonial Gas (DPU 3-2)</t>
  </si>
  <si>
    <t>NGrid Gas CG NH R2</t>
  </si>
  <si>
    <t>Fitchburg Non-heating</t>
  </si>
  <si>
    <t>estimated RAAF % volumetric rate with proposed discount</t>
  </si>
  <si>
    <t>0 &lt;= 100% FPL discount</t>
  </si>
  <si>
    <t>&gt; 100 &lt;= 200% FPL discount</t>
  </si>
  <si>
    <t xml:space="preserve"> &gt; 200% FPL &lt;= 60% SMI discount</t>
  </si>
  <si>
    <t>based on HEAP customer distribution; Exec. Office of Housing and Livable Communities</t>
  </si>
  <si>
    <t>Assumed distribution of customers into HEAP tiers from Exec. Office of Housing and Livable Communities for HEAP customers in MA for FY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</si>
</sst>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  <numFmt numFmtId="167" formatCode="0.0%"/>
    <numFmt numFmtId="168" formatCode="_(&quot;$&quot;* #,##0.00000_);_(&quot;$&quot;* \(#,##0.00000\);_(&quot;$&quot;* &quot;-&quot;??_);_(@_)"/>
    <numFmt numFmtId="169" formatCode="_(&quot;$&quot;* #,##0.0000_);_(&quot;$&quot;* \(#,##0.0000\);_(&quot;$&quot;* &quot;-&quot;??_);_(@_)"/>
    <numFmt numFmtId="170" formatCode="&quot;$&quot;#,##0"/>
    <numFmt numFmtId="171" formatCode="0.0"/>
    <numFmt numFmtId="172" formatCode="_(&quot;$&quot;* #,##0.00000_);_(&quot;$&quot;* \(#,##0.00000\);_(&quot;$&quot;* &quot;-&quot;???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02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4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165" fontId="0" fillId="0" borderId="2" xfId="1" applyNumberFormat="1" applyFont="1" applyBorder="1"/>
    <xf numFmtId="10" fontId="0" fillId="0" borderId="2" xfId="0" applyNumberFormat="1" applyBorder="1"/>
    <xf numFmtId="166" fontId="0" fillId="0" borderId="2" xfId="0" applyNumberFormat="1" applyBorder="1"/>
    <xf numFmtId="167" fontId="0" fillId="0" borderId="2" xfId="3" applyNumberFormat="1" applyFont="1" applyFill="1" applyBorder="1"/>
    <xf numFmtId="1" fontId="0" fillId="0" borderId="2" xfId="3" applyNumberFormat="1" applyFont="1" applyFill="1" applyBorder="1"/>
    <xf numFmtId="44" fontId="0" fillId="0" borderId="0" xfId="2" applyFont="1"/>
    <xf numFmtId="166" fontId="0" fillId="0" borderId="0" xfId="0" applyNumberFormat="1"/>
    <xf numFmtId="0" fontId="0" fillId="0" borderId="0" xfId="0" applyAlignment="1">
      <alignment wrapText="1"/>
    </xf>
    <xf numFmtId="44" fontId="1" fillId="0" borderId="0" xfId="2" applyFont="1" applyAlignment="1">
      <alignment horizontal="center"/>
    </xf>
    <xf numFmtId="168" fontId="0" fillId="0" borderId="0" xfId="2" applyNumberFormat="1" applyFont="1"/>
    <xf numFmtId="168" fontId="0" fillId="0" borderId="0" xfId="0" applyNumberFormat="1"/>
    <xf numFmtId="0" fontId="5" fillId="0" borderId="0" xfId="0" applyFont="1"/>
    <xf numFmtId="168" fontId="7" fillId="0" borderId="0" xfId="2" applyNumberFormat="1" applyFont="1"/>
    <xf numFmtId="168" fontId="7" fillId="0" borderId="0" xfId="0" applyNumberFormat="1" applyFont="1"/>
    <xf numFmtId="168" fontId="1" fillId="0" borderId="0" xfId="2" applyNumberFormat="1" applyFont="1"/>
    <xf numFmtId="0" fontId="2" fillId="3" borderId="0" xfId="0" applyFont="1" applyFill="1"/>
    <xf numFmtId="14" fontId="5" fillId="0" borderId="0" xfId="0" applyNumberFormat="1" applyFont="1"/>
    <xf numFmtId="169" fontId="0" fillId="0" borderId="0" xfId="2" applyNumberFormat="1" applyFont="1"/>
    <xf numFmtId="169" fontId="7" fillId="0" borderId="0" xfId="2" applyNumberFormat="1" applyFont="1"/>
    <xf numFmtId="169" fontId="1" fillId="0" borderId="0" xfId="2" applyNumberFormat="1" applyFont="1"/>
    <xf numFmtId="0" fontId="2" fillId="2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0" xfId="4"/>
    <xf numFmtId="164" fontId="0" fillId="0" borderId="2" xfId="2" applyNumberFormat="1" applyFont="1" applyFill="1" applyBorder="1"/>
    <xf numFmtId="165" fontId="0" fillId="0" borderId="0" xfId="1" applyNumberFormat="1" applyFont="1" applyBorder="1"/>
    <xf numFmtId="166" fontId="0" fillId="0" borderId="0" xfId="2" applyNumberFormat="1" applyFont="1" applyFill="1" applyBorder="1" applyAlignment="1">
      <alignment horizontal="center"/>
    </xf>
    <xf numFmtId="44" fontId="0" fillId="0" borderId="0" xfId="2" applyFont="1" applyFill="1" applyBorder="1"/>
    <xf numFmtId="10" fontId="0" fillId="0" borderId="0" xfId="0" applyNumberFormat="1"/>
    <xf numFmtId="10" fontId="0" fillId="0" borderId="0" xfId="3" applyNumberFormat="1" applyFont="1" applyFill="1" applyBorder="1"/>
    <xf numFmtId="167" fontId="0" fillId="0" borderId="0" xfId="3" applyNumberFormat="1" applyFont="1" applyFill="1" applyBorder="1"/>
    <xf numFmtId="1" fontId="0" fillId="0" borderId="0" xfId="3" applyNumberFormat="1" applyFont="1" applyFill="1" applyBorder="1"/>
    <xf numFmtId="44" fontId="0" fillId="0" borderId="0" xfId="5" applyFont="1"/>
    <xf numFmtId="168" fontId="1" fillId="0" borderId="0" xfId="6" applyNumberFormat="1"/>
    <xf numFmtId="14" fontId="2" fillId="0" borderId="0" xfId="6" applyNumberFormat="1" applyFont="1"/>
    <xf numFmtId="168" fontId="7" fillId="0" borderId="0" xfId="5" applyNumberFormat="1" applyFont="1"/>
    <xf numFmtId="9" fontId="0" fillId="0" borderId="0" xfId="3" applyFont="1"/>
    <xf numFmtId="9" fontId="2" fillId="4" borderId="2" xfId="3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9" fontId="0" fillId="0" borderId="3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9" fontId="0" fillId="5" borderId="15" xfId="0" applyNumberFormat="1" applyFill="1" applyBorder="1" applyAlignment="1">
      <alignment horizontal="center"/>
    </xf>
    <xf numFmtId="9" fontId="0" fillId="5" borderId="17" xfId="0" applyNumberFormat="1" applyFill="1" applyBorder="1" applyAlignment="1">
      <alignment horizontal="center"/>
    </xf>
    <xf numFmtId="170" fontId="0" fillId="0" borderId="2" xfId="2" applyNumberFormat="1" applyFont="1" applyBorder="1" applyAlignment="1">
      <alignment horizontal="center"/>
    </xf>
    <xf numFmtId="167" fontId="0" fillId="0" borderId="0" xfId="3" applyNumberFormat="1" applyFont="1"/>
    <xf numFmtId="167" fontId="0" fillId="0" borderId="0" xfId="0" applyNumberFormat="1"/>
    <xf numFmtId="169" fontId="0" fillId="0" borderId="0" xfId="0" applyNumberForma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9" fontId="0" fillId="0" borderId="23" xfId="0" applyNumberFormat="1" applyBorder="1"/>
    <xf numFmtId="3" fontId="0" fillId="0" borderId="1" xfId="0" applyNumberFormat="1" applyBorder="1"/>
    <xf numFmtId="9" fontId="0" fillId="0" borderId="25" xfId="0" applyNumberFormat="1" applyBorder="1"/>
    <xf numFmtId="0" fontId="0" fillId="0" borderId="1" xfId="0" applyBorder="1"/>
    <xf numFmtId="9" fontId="0" fillId="0" borderId="0" xfId="3" applyFont="1" applyFill="1"/>
    <xf numFmtId="0" fontId="0" fillId="6" borderId="11" xfId="0" applyFill="1" applyBorder="1"/>
    <xf numFmtId="9" fontId="0" fillId="6" borderId="7" xfId="0" applyNumberFormat="1" applyFill="1" applyBorder="1" applyAlignment="1">
      <alignment horizontal="center"/>
    </xf>
    <xf numFmtId="9" fontId="0" fillId="6" borderId="2" xfId="0" applyNumberFormat="1" applyFill="1" applyBorder="1" applyAlignment="1">
      <alignment horizontal="center"/>
    </xf>
    <xf numFmtId="170" fontId="0" fillId="6" borderId="2" xfId="2" applyNumberFormat="1" applyFont="1" applyFill="1" applyBorder="1" applyAlignment="1">
      <alignment horizontal="center"/>
    </xf>
    <xf numFmtId="9" fontId="0" fillId="6" borderId="4" xfId="3" applyFont="1" applyFill="1" applyBorder="1" applyAlignment="1">
      <alignment horizontal="center"/>
    </xf>
    <xf numFmtId="0" fontId="0" fillId="6" borderId="12" xfId="0" applyFill="1" applyBorder="1"/>
    <xf numFmtId="9" fontId="0" fillId="6" borderId="8" xfId="0" applyNumberFormat="1" applyFill="1" applyBorder="1" applyAlignment="1">
      <alignment horizontal="center"/>
    </xf>
    <xf numFmtId="9" fontId="0" fillId="6" borderId="5" xfId="0" applyNumberFormat="1" applyFill="1" applyBorder="1" applyAlignment="1">
      <alignment horizontal="center"/>
    </xf>
    <xf numFmtId="170" fontId="0" fillId="6" borderId="5" xfId="2" applyNumberFormat="1" applyFont="1" applyFill="1" applyBorder="1" applyAlignment="1">
      <alignment horizontal="center"/>
    </xf>
    <xf numFmtId="9" fontId="0" fillId="6" borderId="6" xfId="3" applyFont="1" applyFill="1" applyBorder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168" fontId="0" fillId="0" borderId="1" xfId="0" applyNumberFormat="1" applyBorder="1"/>
    <xf numFmtId="167" fontId="0" fillId="0" borderId="0" xfId="3" applyNumberFormat="1" applyFont="1" applyFill="1"/>
    <xf numFmtId="168" fontId="0" fillId="0" borderId="0" xfId="2" applyNumberFormat="1" applyFont="1" applyFill="1" applyBorder="1"/>
    <xf numFmtId="0" fontId="2" fillId="0" borderId="26" xfId="0" applyFont="1" applyBorder="1" applyAlignment="1">
      <alignment horizontal="center" vertical="center" wrapText="1"/>
    </xf>
    <xf numFmtId="44" fontId="1" fillId="0" borderId="0" xfId="2" applyFont="1" applyFill="1" applyAlignment="1">
      <alignment horizontal="center"/>
    </xf>
    <xf numFmtId="169" fontId="1" fillId="0" borderId="0" xfId="2" applyNumberFormat="1" applyFont="1" applyFill="1" applyAlignment="1">
      <alignment horizontal="center"/>
    </xf>
    <xf numFmtId="169" fontId="0" fillId="0" borderId="0" xfId="2" applyNumberFormat="1" applyFont="1" applyFill="1"/>
    <xf numFmtId="169" fontId="7" fillId="0" borderId="0" xfId="2" applyNumberFormat="1" applyFont="1" applyFill="1"/>
    <xf numFmtId="44" fontId="0" fillId="0" borderId="0" xfId="2" applyFont="1" applyFill="1"/>
    <xf numFmtId="169" fontId="1" fillId="0" borderId="0" xfId="2" applyNumberFormat="1" applyFont="1" applyFill="1"/>
    <xf numFmtId="44" fontId="0" fillId="0" borderId="0" xfId="5" applyFont="1" applyFill="1" applyBorder="1"/>
    <xf numFmtId="168" fontId="7" fillId="0" borderId="0" xfId="5" applyNumberFormat="1" applyFont="1" applyFill="1" applyBorder="1"/>
    <xf numFmtId="168" fontId="1" fillId="0" borderId="0" xfId="2" applyNumberFormat="1" applyFont="1" applyFill="1" applyBorder="1"/>
    <xf numFmtId="44" fontId="1" fillId="0" borderId="0" xfId="2" applyFont="1" applyFill="1" applyBorder="1" applyAlignment="1">
      <alignment horizontal="center"/>
    </xf>
    <xf numFmtId="169" fontId="1" fillId="0" borderId="0" xfId="2" applyNumberFormat="1" applyFont="1" applyFill="1" applyBorder="1" applyAlignment="1">
      <alignment horizontal="center"/>
    </xf>
    <xf numFmtId="169" fontId="1" fillId="0" borderId="0" xfId="2" applyNumberFormat="1" applyFont="1" applyFill="1" applyBorder="1"/>
    <xf numFmtId="169" fontId="7" fillId="0" borderId="0" xfId="2" applyNumberFormat="1" applyFont="1" applyFill="1" applyBorder="1"/>
    <xf numFmtId="169" fontId="0" fillId="0" borderId="0" xfId="2" applyNumberFormat="1" applyFont="1" applyFill="1" applyBorder="1"/>
    <xf numFmtId="0" fontId="0" fillId="0" borderId="0" xfId="0" applyAlignment="1">
      <alignment horizontal="right"/>
    </xf>
    <xf numFmtId="44" fontId="0" fillId="0" borderId="0" xfId="2" applyFont="1" applyFill="1" applyBorder="1" applyAlignment="1">
      <alignment horizontal="center"/>
    </xf>
    <xf numFmtId="0" fontId="0" fillId="0" borderId="25" xfId="0" applyBorder="1"/>
    <xf numFmtId="9" fontId="0" fillId="0" borderId="0" xfId="0" applyNumberFormat="1"/>
    <xf numFmtId="0" fontId="0" fillId="0" borderId="24" xfId="0" applyBorder="1"/>
    <xf numFmtId="0" fontId="2" fillId="0" borderId="27" xfId="0" applyFont="1" applyBorder="1" applyAlignment="1">
      <alignment horizontal="center" vertical="center" wrapText="1"/>
    </xf>
    <xf numFmtId="9" fontId="0" fillId="0" borderId="28" xfId="3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3" xfId="0" applyBorder="1"/>
    <xf numFmtId="167" fontId="0" fillId="0" borderId="28" xfId="3" applyNumberFormat="1" applyFont="1" applyBorder="1" applyAlignment="1">
      <alignment horizontal="center"/>
    </xf>
    <xf numFmtId="167" fontId="0" fillId="0" borderId="2" xfId="3" applyNumberFormat="1" applyFont="1" applyBorder="1" applyAlignment="1">
      <alignment horizontal="center"/>
    </xf>
    <xf numFmtId="172" fontId="0" fillId="0" borderId="0" xfId="0" applyNumberFormat="1"/>
    <xf numFmtId="0" fontId="0" fillId="0" borderId="34" xfId="0" applyBorder="1"/>
    <xf numFmtId="0" fontId="2" fillId="0" borderId="35" xfId="0" applyFont="1" applyBorder="1" applyAlignment="1">
      <alignment horizontal="center" vertical="center" wrapText="1"/>
    </xf>
    <xf numFmtId="167" fontId="0" fillId="0" borderId="36" xfId="3" applyNumberFormat="1" applyFont="1" applyBorder="1" applyAlignment="1">
      <alignment horizontal="center"/>
    </xf>
    <xf numFmtId="0" fontId="0" fillId="0" borderId="37" xfId="0" applyBorder="1"/>
    <xf numFmtId="0" fontId="0" fillId="0" borderId="37" xfId="0" applyBorder="1" applyAlignment="1">
      <alignment horizontal="center"/>
    </xf>
    <xf numFmtId="165" fontId="0" fillId="0" borderId="0" xfId="0" applyNumberFormat="1"/>
    <xf numFmtId="170" fontId="0" fillId="0" borderId="2" xfId="2" applyNumberFormat="1" applyFont="1" applyFill="1" applyBorder="1" applyAlignment="1">
      <alignment horizontal="center"/>
    </xf>
    <xf numFmtId="9" fontId="0" fillId="0" borderId="28" xfId="3" applyFont="1" applyFill="1" applyBorder="1" applyAlignment="1">
      <alignment horizontal="center"/>
    </xf>
    <xf numFmtId="167" fontId="0" fillId="0" borderId="28" xfId="3" applyNumberFormat="1" applyFont="1" applyFill="1" applyBorder="1" applyAlignment="1">
      <alignment horizontal="center"/>
    </xf>
    <xf numFmtId="167" fontId="0" fillId="0" borderId="2" xfId="3" applyNumberFormat="1" applyFont="1" applyFill="1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/>
    </xf>
    <xf numFmtId="0" fontId="0" fillId="0" borderId="32" xfId="0" applyBorder="1"/>
    <xf numFmtId="167" fontId="2" fillId="4" borderId="2" xfId="3" applyNumberFormat="1" applyFont="1" applyFill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9" fontId="0" fillId="0" borderId="0" xfId="3" applyFont="1" applyFill="1" applyBorder="1"/>
    <xf numFmtId="0" fontId="2" fillId="0" borderId="19" xfId="0" applyFont="1" applyBorder="1"/>
    <xf numFmtId="171" fontId="0" fillId="0" borderId="23" xfId="0" applyNumberFormat="1" applyBorder="1"/>
    <xf numFmtId="9" fontId="0" fillId="0" borderId="7" xfId="3" applyFont="1" applyBorder="1"/>
    <xf numFmtId="166" fontId="0" fillId="0" borderId="28" xfId="0" applyNumberFormat="1" applyBorder="1"/>
    <xf numFmtId="164" fontId="0" fillId="0" borderId="7" xfId="0" applyNumberFormat="1" applyBorder="1"/>
    <xf numFmtId="164" fontId="0" fillId="0" borderId="2" xfId="0" applyNumberFormat="1" applyBorder="1"/>
    <xf numFmtId="1" fontId="0" fillId="0" borderId="18" xfId="3" applyNumberFormat="1" applyFont="1" applyFill="1" applyBorder="1"/>
    <xf numFmtId="164" fontId="0" fillId="0" borderId="18" xfId="2" applyNumberFormat="1" applyFont="1" applyFill="1" applyBorder="1"/>
    <xf numFmtId="0" fontId="0" fillId="0" borderId="2" xfId="0" applyBorder="1"/>
    <xf numFmtId="9" fontId="0" fillId="0" borderId="2" xfId="3" applyFont="1" applyBorder="1"/>
    <xf numFmtId="9" fontId="0" fillId="0" borderId="2" xfId="3" applyFont="1" applyFill="1" applyBorder="1"/>
    <xf numFmtId="0" fontId="0" fillId="5" borderId="0" xfId="0" applyFill="1"/>
    <xf numFmtId="10" fontId="0" fillId="5" borderId="0" xfId="0" applyNumberFormat="1" applyFill="1" applyAlignment="1">
      <alignment horizontal="center"/>
    </xf>
    <xf numFmtId="0" fontId="2" fillId="0" borderId="0" xfId="6" applyFont="1" applyAlignment="1">
      <alignment horizontal="center" vertical="center" wrapText="1"/>
    </xf>
    <xf numFmtId="0" fontId="2" fillId="0" borderId="23" xfId="6" applyFont="1" applyBorder="1" applyAlignment="1">
      <alignment horizontal="center" vertical="center" wrapText="1"/>
    </xf>
    <xf numFmtId="3" fontId="0" fillId="0" borderId="0" xfId="0" applyNumberFormat="1"/>
    <xf numFmtId="0" fontId="2" fillId="0" borderId="0" xfId="6" applyFont="1"/>
    <xf numFmtId="0" fontId="1" fillId="0" borderId="0" xfId="6"/>
    <xf numFmtId="171" fontId="1" fillId="0" borderId="0" xfId="6" applyNumberForma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25" xfId="0" applyBorder="1" applyAlignment="1">
      <alignment wrapText="1"/>
    </xf>
    <xf numFmtId="0" fontId="0" fillId="0" borderId="22" xfId="0" applyBorder="1" applyAlignment="1">
      <alignment horizontal="center"/>
    </xf>
    <xf numFmtId="164" fontId="0" fillId="0" borderId="0" xfId="2" applyNumberFormat="1" applyFont="1" applyBorder="1"/>
    <xf numFmtId="164" fontId="0" fillId="0" borderId="23" xfId="2" applyNumberFormat="1" applyFont="1" applyBorder="1"/>
    <xf numFmtId="0" fontId="0" fillId="0" borderId="19" xfId="0" applyBorder="1"/>
    <xf numFmtId="165" fontId="0" fillId="0" borderId="23" xfId="1" applyNumberFormat="1" applyFont="1" applyBorder="1"/>
    <xf numFmtId="0" fontId="0" fillId="0" borderId="24" xfId="0" applyBorder="1" applyAlignment="1">
      <alignment horizontal="center"/>
    </xf>
    <xf numFmtId="165" fontId="0" fillId="0" borderId="1" xfId="1" applyNumberFormat="1" applyFont="1" applyBorder="1"/>
    <xf numFmtId="165" fontId="0" fillId="0" borderId="25" xfId="1" applyNumberFormat="1" applyFont="1" applyBorder="1"/>
    <xf numFmtId="0" fontId="0" fillId="7" borderId="0" xfId="0" applyFill="1"/>
    <xf numFmtId="10" fontId="0" fillId="7" borderId="40" xfId="0" applyNumberFormat="1" applyFill="1" applyBorder="1" applyAlignment="1">
      <alignment horizontal="center"/>
    </xf>
    <xf numFmtId="0" fontId="0" fillId="7" borderId="31" xfId="1" applyNumberFormat="1" applyFont="1" applyFill="1" applyBorder="1" applyAlignment="1">
      <alignment horizontal="center"/>
    </xf>
    <xf numFmtId="10" fontId="0" fillId="7" borderId="44" xfId="0" applyNumberFormat="1" applyFill="1" applyBorder="1" applyAlignment="1">
      <alignment horizont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vertical="center"/>
    </xf>
    <xf numFmtId="0" fontId="0" fillId="5" borderId="0" xfId="0" applyFill="1" applyAlignment="1">
      <alignment horizontal="center"/>
    </xf>
    <xf numFmtId="171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67" fontId="0" fillId="0" borderId="1" xfId="0" applyNumberFormat="1" applyBorder="1"/>
    <xf numFmtId="0" fontId="0" fillId="0" borderId="15" xfId="0" applyBorder="1" applyAlignment="1">
      <alignment horizontal="right" vertical="center"/>
    </xf>
    <xf numFmtId="0" fontId="0" fillId="0" borderId="2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64" fontId="0" fillId="0" borderId="2" xfId="2" applyNumberFormat="1" applyFont="1" applyFill="1" applyBorder="1" applyAlignment="1">
      <alignment horizontal="center"/>
    </xf>
    <xf numFmtId="167" fontId="0" fillId="0" borderId="2" xfId="0" applyNumberFormat="1" applyBorder="1"/>
    <xf numFmtId="164" fontId="0" fillId="0" borderId="2" xfId="2" applyNumberFormat="1" applyFont="1" applyBorder="1"/>
    <xf numFmtId="164" fontId="0" fillId="0" borderId="2" xfId="2" applyNumberFormat="1" applyFont="1" applyBorder="1" applyAlignment="1">
      <alignment horizontal="center"/>
    </xf>
    <xf numFmtId="164" fontId="0" fillId="0" borderId="0" xfId="2" applyNumberFormat="1" applyFont="1" applyFill="1" applyBorder="1"/>
    <xf numFmtId="167" fontId="0" fillId="0" borderId="2" xfId="3" applyNumberFormat="1" applyFont="1" applyBorder="1"/>
  </cellXfs>
  <cellStyles count="7">
    <cellStyle name="Comma" xfId="1" builtinId="3"/>
    <cellStyle name="Currency" xfId="2" builtinId="4"/>
    <cellStyle name="Currency 2" xfId="5" xr:uid="{7B43DDDF-18DE-4E04-AEFA-6721EC9A9C66}"/>
    <cellStyle name="Hyperlink" xfId="4" builtinId="8"/>
    <cellStyle name="Normal" xfId="0" builtinId="0"/>
    <cellStyle name="Normal 2" xfId="6" xr:uid="{37B2F816-3909-4548-959A-49EE00E8282B}"/>
    <cellStyle name="Percent" xfId="3" builtinId="5"/>
  </cellStyles>
  <dxfs count="0"/>
  <tableStyles count="0" defaultTableStyle="TableStyleMedium2" defaultPivotStyle="PivotStyleLight16"/>
  <colors>
    <mruColors>
      <color rgb="FFFA34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kha, Aneesa (DPU)" id="{0A056DFD-90AB-40BD-9CD5-F194991CADEB}" userId="S::Aneesa.Rekha@mass.gov::2aae6c2c-89a4-4457-b756-6ee8f38b9f8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3" dT="2025-02-24T18:39:07.23" personId="{0A056DFD-90AB-40BD-9CD5-F194991CADEB}" id="{88F620E6-B6C1-45EA-BD3C-25EBA41EB5F5}">
    <text xml:space="preserve">Annual Bill = (monthly usage * average total volumetric charge )+ avg customer charge) *12
</tex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07CF-9CDB-4E2C-BAB0-7E9AA5AB5EE9}">
  <sheetPr>
    <tabColor theme="0" tint="-0.499984740745262"/>
  </sheetPr>
  <dimension ref="A1:P27"/>
  <sheetViews>
    <sheetView topLeftCell="A24" workbookViewId="0">
      <selection activeCell="A28" sqref="A28"/>
    </sheetView>
  </sheetViews>
  <sheetFormatPr defaultRowHeight="14.5" x14ac:dyDescent="0.35"/>
  <cols>
    <col min="1" max="1" width="12.1796875" customWidth="1"/>
    <col min="2" max="7" width="13.7265625" customWidth="1"/>
    <col min="8" max="9" width="9.54296875" customWidth="1"/>
    <col min="10" max="10" width="11.1796875" customWidth="1"/>
    <col min="11" max="16" width="13.7265625" customWidth="1"/>
  </cols>
  <sheetData>
    <row r="1" spans="1:16" x14ac:dyDescent="0.35">
      <c r="A1" s="134" t="s">
        <v>0</v>
      </c>
      <c r="B1" s="65"/>
      <c r="C1" s="65"/>
      <c r="D1" s="65"/>
      <c r="E1" s="65"/>
      <c r="F1" s="65"/>
      <c r="G1" s="66"/>
    </row>
    <row r="2" spans="1:16" x14ac:dyDescent="0.35">
      <c r="A2" s="67" t="s">
        <v>1</v>
      </c>
      <c r="G2" s="68"/>
      <c r="J2" s="162" t="s">
        <v>2</v>
      </c>
      <c r="K2" s="65"/>
      <c r="L2" s="65"/>
      <c r="M2" s="65"/>
      <c r="N2" s="65"/>
      <c r="O2" s="65"/>
      <c r="P2" s="66"/>
    </row>
    <row r="3" spans="1:16" ht="29" x14ac:dyDescent="0.35">
      <c r="A3" s="157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58" t="s">
        <v>9</v>
      </c>
      <c r="H3" s="16"/>
      <c r="I3" s="16"/>
      <c r="J3" s="157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158" t="s">
        <v>9</v>
      </c>
    </row>
    <row r="4" spans="1:16" x14ac:dyDescent="0.35">
      <c r="A4" s="159">
        <v>1</v>
      </c>
      <c r="B4" s="160">
        <v>15060</v>
      </c>
      <c r="C4" s="160">
        <v>18825</v>
      </c>
      <c r="D4" s="160">
        <v>22590</v>
      </c>
      <c r="E4" s="160">
        <v>26355</v>
      </c>
      <c r="F4" s="160">
        <v>30120</v>
      </c>
      <c r="G4" s="161">
        <v>49196</v>
      </c>
      <c r="H4" s="4"/>
      <c r="I4" s="4"/>
      <c r="J4" s="159">
        <v>1</v>
      </c>
      <c r="K4" s="34">
        <f t="shared" ref="K4:K23" si="0">B4/2</f>
        <v>7530</v>
      </c>
      <c r="L4" s="34">
        <f t="shared" ref="L4:L23" si="1">C4-(C4-B4)/2</f>
        <v>16942.5</v>
      </c>
      <c r="M4" s="34">
        <f t="shared" ref="M4:M23" si="2">D4-(D4-C4)/2</f>
        <v>20707.5</v>
      </c>
      <c r="N4" s="34">
        <f t="shared" ref="N4:N23" si="3">E4-(E4-D4)/2</f>
        <v>24472.5</v>
      </c>
      <c r="O4" s="34">
        <f t="shared" ref="O4:O23" si="4">F4-(F4-E4)/2</f>
        <v>28237.5</v>
      </c>
      <c r="P4" s="163">
        <f t="shared" ref="P4:P23" si="5">G4-(G4-F4)/2</f>
        <v>39658</v>
      </c>
    </row>
    <row r="5" spans="1:16" x14ac:dyDescent="0.35">
      <c r="A5" s="159">
        <v>1.5</v>
      </c>
      <c r="B5" s="160">
        <f>AVERAGE(B4,B6)</f>
        <v>17750</v>
      </c>
      <c r="C5" s="160">
        <f t="shared" ref="C5" si="6">AVERAGE(C4,C6)</f>
        <v>22187.5</v>
      </c>
      <c r="D5" s="160">
        <f t="shared" ref="D5" si="7">AVERAGE(D4,D6)</f>
        <v>26625</v>
      </c>
      <c r="E5" s="160">
        <f t="shared" ref="E5" si="8">AVERAGE(E4,E6)</f>
        <v>31062.5</v>
      </c>
      <c r="F5" s="160">
        <f t="shared" ref="F5" si="9">AVERAGE(F4,F6)</f>
        <v>35500</v>
      </c>
      <c r="G5" s="161">
        <f t="shared" ref="G5" si="10">AVERAGE(G4,G6)</f>
        <v>56764.5</v>
      </c>
      <c r="H5" s="4"/>
      <c r="I5" s="4"/>
      <c r="J5" s="159">
        <v>1.5</v>
      </c>
      <c r="K5" s="34">
        <f t="shared" si="0"/>
        <v>8875</v>
      </c>
      <c r="L5" s="34">
        <f t="shared" si="1"/>
        <v>19968.75</v>
      </c>
      <c r="M5" s="34">
        <f t="shared" si="2"/>
        <v>24406.25</v>
      </c>
      <c r="N5" s="34">
        <f t="shared" si="3"/>
        <v>28843.75</v>
      </c>
      <c r="O5" s="34">
        <f t="shared" si="4"/>
        <v>33281.25</v>
      </c>
      <c r="P5" s="163">
        <f t="shared" si="5"/>
        <v>46132.25</v>
      </c>
    </row>
    <row r="6" spans="1:16" x14ac:dyDescent="0.35">
      <c r="A6" s="159">
        <f>A4+1</f>
        <v>2</v>
      </c>
      <c r="B6" s="160">
        <v>20440</v>
      </c>
      <c r="C6" s="160">
        <v>25550</v>
      </c>
      <c r="D6" s="160">
        <v>30660</v>
      </c>
      <c r="E6" s="160">
        <v>35770</v>
      </c>
      <c r="F6" s="160">
        <v>40880</v>
      </c>
      <c r="G6" s="161">
        <v>64333</v>
      </c>
      <c r="H6" s="4"/>
      <c r="I6" s="4"/>
      <c r="J6" s="159">
        <f>J4+1</f>
        <v>2</v>
      </c>
      <c r="K6" s="34">
        <f t="shared" si="0"/>
        <v>10220</v>
      </c>
      <c r="L6" s="34">
        <f t="shared" si="1"/>
        <v>22995</v>
      </c>
      <c r="M6" s="34">
        <f t="shared" si="2"/>
        <v>28105</v>
      </c>
      <c r="N6" s="34">
        <f t="shared" si="3"/>
        <v>33215</v>
      </c>
      <c r="O6" s="34">
        <f t="shared" si="4"/>
        <v>38325</v>
      </c>
      <c r="P6" s="163">
        <f t="shared" si="5"/>
        <v>52606.5</v>
      </c>
    </row>
    <row r="7" spans="1:16" x14ac:dyDescent="0.35">
      <c r="A7" s="159">
        <v>2.5</v>
      </c>
      <c r="B7" s="160">
        <f>AVERAGE(B6,B8)</f>
        <v>23130</v>
      </c>
      <c r="C7" s="160">
        <f t="shared" ref="C7:G7" si="11">AVERAGE(C6,C8)</f>
        <v>28912.5</v>
      </c>
      <c r="D7" s="160">
        <f t="shared" si="11"/>
        <v>34695</v>
      </c>
      <c r="E7" s="160">
        <f t="shared" si="11"/>
        <v>40477.5</v>
      </c>
      <c r="F7" s="160">
        <f t="shared" si="11"/>
        <v>46260</v>
      </c>
      <c r="G7" s="161">
        <f t="shared" si="11"/>
        <v>71901.5</v>
      </c>
      <c r="H7" s="4"/>
      <c r="I7" s="4"/>
      <c r="J7" s="159">
        <v>2.5</v>
      </c>
      <c r="K7" s="34">
        <f t="shared" si="0"/>
        <v>11565</v>
      </c>
      <c r="L7" s="34">
        <f t="shared" si="1"/>
        <v>26021.25</v>
      </c>
      <c r="M7" s="34">
        <f t="shared" si="2"/>
        <v>31803.75</v>
      </c>
      <c r="N7" s="34">
        <f t="shared" si="3"/>
        <v>37586.25</v>
      </c>
      <c r="O7" s="34">
        <f t="shared" si="4"/>
        <v>43368.75</v>
      </c>
      <c r="P7" s="163">
        <f t="shared" si="5"/>
        <v>59080.75</v>
      </c>
    </row>
    <row r="8" spans="1:16" x14ac:dyDescent="0.35">
      <c r="A8" s="159">
        <f>A6+1</f>
        <v>3</v>
      </c>
      <c r="B8" s="160">
        <v>25820</v>
      </c>
      <c r="C8" s="160">
        <v>32275</v>
      </c>
      <c r="D8" s="160">
        <v>38730</v>
      </c>
      <c r="E8" s="160">
        <v>45185</v>
      </c>
      <c r="F8" s="160">
        <v>51640</v>
      </c>
      <c r="G8" s="161">
        <v>79470</v>
      </c>
      <c r="H8" s="4"/>
      <c r="I8" s="4"/>
      <c r="J8" s="159">
        <f>J6+1</f>
        <v>3</v>
      </c>
      <c r="K8" s="34">
        <f t="shared" si="0"/>
        <v>12910</v>
      </c>
      <c r="L8" s="34">
        <f t="shared" si="1"/>
        <v>29047.5</v>
      </c>
      <c r="M8" s="34">
        <f t="shared" si="2"/>
        <v>35502.5</v>
      </c>
      <c r="N8" s="34">
        <f t="shared" si="3"/>
        <v>41957.5</v>
      </c>
      <c r="O8" s="34">
        <f t="shared" si="4"/>
        <v>48412.5</v>
      </c>
      <c r="P8" s="163">
        <f t="shared" si="5"/>
        <v>65555</v>
      </c>
    </row>
    <row r="9" spans="1:16" x14ac:dyDescent="0.35">
      <c r="A9" s="159">
        <v>3.5</v>
      </c>
      <c r="B9" s="160">
        <f>AVERAGE(B8,B10)</f>
        <v>28510</v>
      </c>
      <c r="C9" s="160">
        <f t="shared" ref="C9" si="12">AVERAGE(C8,C10)</f>
        <v>35637.5</v>
      </c>
      <c r="D9" s="160">
        <f t="shared" ref="D9" si="13">AVERAGE(D8,D10)</f>
        <v>42765</v>
      </c>
      <c r="E9" s="160">
        <f t="shared" ref="E9" si="14">AVERAGE(E8,E10)</f>
        <v>49892.5</v>
      </c>
      <c r="F9" s="160">
        <f t="shared" ref="F9" si="15">AVERAGE(F8,F10)</f>
        <v>57020</v>
      </c>
      <c r="G9" s="161">
        <f t="shared" ref="G9" si="16">AVERAGE(G8,G10)</f>
        <v>87039</v>
      </c>
      <c r="H9" s="4"/>
      <c r="I9" s="4"/>
      <c r="J9" s="159">
        <v>3.5</v>
      </c>
      <c r="K9" s="34">
        <f t="shared" si="0"/>
        <v>14255</v>
      </c>
      <c r="L9" s="34">
        <f t="shared" si="1"/>
        <v>32073.75</v>
      </c>
      <c r="M9" s="34">
        <f t="shared" si="2"/>
        <v>39201.25</v>
      </c>
      <c r="N9" s="34">
        <f t="shared" si="3"/>
        <v>46328.75</v>
      </c>
      <c r="O9" s="34">
        <f t="shared" si="4"/>
        <v>53456.25</v>
      </c>
      <c r="P9" s="163">
        <f t="shared" si="5"/>
        <v>72029.5</v>
      </c>
    </row>
    <row r="10" spans="1:16" x14ac:dyDescent="0.35">
      <c r="A10" s="159">
        <f>A8+1</f>
        <v>4</v>
      </c>
      <c r="B10" s="160">
        <v>31200</v>
      </c>
      <c r="C10" s="160">
        <v>39000</v>
      </c>
      <c r="D10" s="160">
        <v>46800</v>
      </c>
      <c r="E10" s="160">
        <v>54600</v>
      </c>
      <c r="F10" s="160">
        <v>62400</v>
      </c>
      <c r="G10" s="161">
        <v>94608</v>
      </c>
      <c r="H10" s="4"/>
      <c r="I10" s="4"/>
      <c r="J10" s="159">
        <f>J8+1</f>
        <v>4</v>
      </c>
      <c r="K10" s="34">
        <f t="shared" si="0"/>
        <v>15600</v>
      </c>
      <c r="L10" s="34">
        <f t="shared" si="1"/>
        <v>35100</v>
      </c>
      <c r="M10" s="34">
        <f t="shared" si="2"/>
        <v>42900</v>
      </c>
      <c r="N10" s="34">
        <f t="shared" si="3"/>
        <v>50700</v>
      </c>
      <c r="O10" s="34">
        <f t="shared" si="4"/>
        <v>58500</v>
      </c>
      <c r="P10" s="163">
        <f t="shared" si="5"/>
        <v>78504</v>
      </c>
    </row>
    <row r="11" spans="1:16" x14ac:dyDescent="0.35">
      <c r="A11" s="159">
        <f t="shared" ref="A11:A21" si="17">A10+1</f>
        <v>5</v>
      </c>
      <c r="B11" s="160">
        <v>36580</v>
      </c>
      <c r="C11" s="160">
        <v>45725</v>
      </c>
      <c r="D11" s="160">
        <v>54870</v>
      </c>
      <c r="E11" s="160">
        <v>64015</v>
      </c>
      <c r="F11" s="160">
        <v>73160</v>
      </c>
      <c r="G11" s="161">
        <v>109745</v>
      </c>
      <c r="H11" s="4"/>
      <c r="I11" s="4"/>
      <c r="J11" s="159">
        <f t="shared" ref="J11:J21" si="18">J10+1</f>
        <v>5</v>
      </c>
      <c r="K11" s="34">
        <f t="shared" si="0"/>
        <v>18290</v>
      </c>
      <c r="L11" s="34">
        <f t="shared" si="1"/>
        <v>41152.5</v>
      </c>
      <c r="M11" s="34">
        <f t="shared" si="2"/>
        <v>50297.5</v>
      </c>
      <c r="N11" s="34">
        <f t="shared" si="3"/>
        <v>59442.5</v>
      </c>
      <c r="O11" s="34">
        <f t="shared" si="4"/>
        <v>68587.5</v>
      </c>
      <c r="P11" s="163">
        <f t="shared" si="5"/>
        <v>91452.5</v>
      </c>
    </row>
    <row r="12" spans="1:16" x14ac:dyDescent="0.35">
      <c r="A12" s="159">
        <f t="shared" si="17"/>
        <v>6</v>
      </c>
      <c r="B12" s="160">
        <v>41960</v>
      </c>
      <c r="C12" s="160">
        <v>52450</v>
      </c>
      <c r="D12" s="160">
        <v>62940</v>
      </c>
      <c r="E12" s="160">
        <v>73430</v>
      </c>
      <c r="F12" s="160">
        <v>83920</v>
      </c>
      <c r="G12" s="161">
        <v>124882</v>
      </c>
      <c r="H12" s="4"/>
      <c r="I12" s="4"/>
      <c r="J12" s="159">
        <f t="shared" si="18"/>
        <v>6</v>
      </c>
      <c r="K12" s="34">
        <f t="shared" si="0"/>
        <v>20980</v>
      </c>
      <c r="L12" s="34">
        <f t="shared" si="1"/>
        <v>47205</v>
      </c>
      <c r="M12" s="34">
        <f t="shared" si="2"/>
        <v>57695</v>
      </c>
      <c r="N12" s="34">
        <f t="shared" si="3"/>
        <v>68185</v>
      </c>
      <c r="O12" s="34">
        <f t="shared" si="4"/>
        <v>78675</v>
      </c>
      <c r="P12" s="163">
        <f t="shared" si="5"/>
        <v>104401</v>
      </c>
    </row>
    <row r="13" spans="1:16" x14ac:dyDescent="0.35">
      <c r="A13" s="159">
        <f t="shared" si="17"/>
        <v>7</v>
      </c>
      <c r="B13" s="160">
        <v>47340</v>
      </c>
      <c r="C13" s="160">
        <v>59175</v>
      </c>
      <c r="D13" s="160">
        <v>71010</v>
      </c>
      <c r="E13" s="160">
        <v>82845</v>
      </c>
      <c r="F13" s="160">
        <v>94680</v>
      </c>
      <c r="G13" s="161">
        <v>127720</v>
      </c>
      <c r="H13" s="4"/>
      <c r="I13" s="4"/>
      <c r="J13" s="159">
        <f t="shared" si="18"/>
        <v>7</v>
      </c>
      <c r="K13" s="34">
        <f t="shared" si="0"/>
        <v>23670</v>
      </c>
      <c r="L13" s="34">
        <f t="shared" si="1"/>
        <v>53257.5</v>
      </c>
      <c r="M13" s="34">
        <f t="shared" si="2"/>
        <v>65092.5</v>
      </c>
      <c r="N13" s="34">
        <f t="shared" si="3"/>
        <v>76927.5</v>
      </c>
      <c r="O13" s="34">
        <f t="shared" si="4"/>
        <v>88762.5</v>
      </c>
      <c r="P13" s="163">
        <f t="shared" si="5"/>
        <v>111200</v>
      </c>
    </row>
    <row r="14" spans="1:16" x14ac:dyDescent="0.35">
      <c r="A14" s="159">
        <f t="shared" si="17"/>
        <v>8</v>
      </c>
      <c r="B14" s="160">
        <v>52720</v>
      </c>
      <c r="C14" s="160">
        <v>65900</v>
      </c>
      <c r="D14" s="160">
        <v>79080</v>
      </c>
      <c r="E14" s="160">
        <v>92260</v>
      </c>
      <c r="F14" s="160">
        <v>105440</v>
      </c>
      <c r="G14" s="161">
        <v>130559</v>
      </c>
      <c r="H14" s="4"/>
      <c r="I14" s="4"/>
      <c r="J14" s="159">
        <f t="shared" si="18"/>
        <v>8</v>
      </c>
      <c r="K14" s="34">
        <f t="shared" si="0"/>
        <v>26360</v>
      </c>
      <c r="L14" s="34">
        <f t="shared" si="1"/>
        <v>59310</v>
      </c>
      <c r="M14" s="34">
        <f t="shared" si="2"/>
        <v>72490</v>
      </c>
      <c r="N14" s="34">
        <f t="shared" si="3"/>
        <v>85670</v>
      </c>
      <c r="O14" s="34">
        <f t="shared" si="4"/>
        <v>98850</v>
      </c>
      <c r="P14" s="163">
        <f t="shared" si="5"/>
        <v>117999.5</v>
      </c>
    </row>
    <row r="15" spans="1:16" x14ac:dyDescent="0.35">
      <c r="A15" s="159">
        <f t="shared" si="17"/>
        <v>9</v>
      </c>
      <c r="B15" s="160">
        <v>58100</v>
      </c>
      <c r="C15" s="160">
        <v>72625</v>
      </c>
      <c r="D15" s="160">
        <v>87150</v>
      </c>
      <c r="E15" s="160">
        <v>101675</v>
      </c>
      <c r="F15" s="160">
        <v>116200</v>
      </c>
      <c r="G15" s="161">
        <v>133397</v>
      </c>
      <c r="H15" s="4"/>
      <c r="I15" s="4"/>
      <c r="J15" s="159">
        <f t="shared" si="18"/>
        <v>9</v>
      </c>
      <c r="K15" s="34">
        <f t="shared" si="0"/>
        <v>29050</v>
      </c>
      <c r="L15" s="34">
        <f t="shared" si="1"/>
        <v>65362.5</v>
      </c>
      <c r="M15" s="34">
        <f t="shared" si="2"/>
        <v>79887.5</v>
      </c>
      <c r="N15" s="34">
        <f t="shared" si="3"/>
        <v>94412.5</v>
      </c>
      <c r="O15" s="34">
        <f t="shared" si="4"/>
        <v>108937.5</v>
      </c>
      <c r="P15" s="163">
        <f t="shared" si="5"/>
        <v>124798.5</v>
      </c>
    </row>
    <row r="16" spans="1:16" x14ac:dyDescent="0.35">
      <c r="A16" s="159">
        <f t="shared" si="17"/>
        <v>10</v>
      </c>
      <c r="B16" s="160">
        <v>63480</v>
      </c>
      <c r="C16" s="160">
        <v>79350</v>
      </c>
      <c r="D16" s="160">
        <v>95220</v>
      </c>
      <c r="E16" s="160">
        <v>111090</v>
      </c>
      <c r="F16" s="160">
        <v>126960</v>
      </c>
      <c r="G16" s="161">
        <v>136235</v>
      </c>
      <c r="H16" s="4"/>
      <c r="I16" s="4"/>
      <c r="J16" s="159">
        <f t="shared" si="18"/>
        <v>10</v>
      </c>
      <c r="K16" s="34">
        <f t="shared" si="0"/>
        <v>31740</v>
      </c>
      <c r="L16" s="34">
        <f t="shared" si="1"/>
        <v>71415</v>
      </c>
      <c r="M16" s="34">
        <f t="shared" si="2"/>
        <v>87285</v>
      </c>
      <c r="N16" s="34">
        <f t="shared" si="3"/>
        <v>103155</v>
      </c>
      <c r="O16" s="34">
        <f t="shared" si="4"/>
        <v>119025</v>
      </c>
      <c r="P16" s="163">
        <f t="shared" si="5"/>
        <v>131597.5</v>
      </c>
    </row>
    <row r="17" spans="1:16" x14ac:dyDescent="0.35">
      <c r="A17" s="159">
        <f t="shared" si="17"/>
        <v>11</v>
      </c>
      <c r="B17" s="160">
        <v>68860</v>
      </c>
      <c r="C17" s="160">
        <v>86075</v>
      </c>
      <c r="D17" s="160">
        <v>103290</v>
      </c>
      <c r="E17" s="160">
        <v>120505</v>
      </c>
      <c r="F17" s="160">
        <v>137720</v>
      </c>
      <c r="G17" s="161">
        <v>139073</v>
      </c>
      <c r="H17" s="4"/>
      <c r="I17" s="4"/>
      <c r="J17" s="159">
        <f t="shared" si="18"/>
        <v>11</v>
      </c>
      <c r="K17" s="34">
        <f t="shared" si="0"/>
        <v>34430</v>
      </c>
      <c r="L17" s="34">
        <f t="shared" si="1"/>
        <v>77467.5</v>
      </c>
      <c r="M17" s="34">
        <f t="shared" si="2"/>
        <v>94682.5</v>
      </c>
      <c r="N17" s="34">
        <f t="shared" si="3"/>
        <v>111897.5</v>
      </c>
      <c r="O17" s="34">
        <f t="shared" si="4"/>
        <v>129112.5</v>
      </c>
      <c r="P17" s="163">
        <f t="shared" si="5"/>
        <v>138396.5</v>
      </c>
    </row>
    <row r="18" spans="1:16" x14ac:dyDescent="0.35">
      <c r="A18" s="159">
        <f t="shared" si="17"/>
        <v>12</v>
      </c>
      <c r="B18" s="160">
        <v>74240</v>
      </c>
      <c r="C18" s="160">
        <v>92800</v>
      </c>
      <c r="D18" s="160">
        <v>111360</v>
      </c>
      <c r="E18" s="160">
        <v>129920</v>
      </c>
      <c r="F18" s="160">
        <v>141912</v>
      </c>
      <c r="G18" s="161">
        <v>141912</v>
      </c>
      <c r="H18" s="4"/>
      <c r="I18" s="4"/>
      <c r="J18" s="159">
        <f t="shared" si="18"/>
        <v>12</v>
      </c>
      <c r="K18" s="34">
        <f t="shared" si="0"/>
        <v>37120</v>
      </c>
      <c r="L18" s="34">
        <f t="shared" si="1"/>
        <v>83520</v>
      </c>
      <c r="M18" s="34">
        <f t="shared" si="2"/>
        <v>102080</v>
      </c>
      <c r="N18" s="34">
        <f t="shared" si="3"/>
        <v>120640</v>
      </c>
      <c r="O18" s="34">
        <f t="shared" si="4"/>
        <v>135916</v>
      </c>
      <c r="P18" s="163">
        <f t="shared" si="5"/>
        <v>141912</v>
      </c>
    </row>
    <row r="19" spans="1:16" x14ac:dyDescent="0.35">
      <c r="A19" s="159">
        <f t="shared" si="17"/>
        <v>13</v>
      </c>
      <c r="B19" s="160">
        <v>79620</v>
      </c>
      <c r="C19" s="160">
        <v>99525</v>
      </c>
      <c r="D19" s="160">
        <v>119430</v>
      </c>
      <c r="E19" s="160">
        <v>139335</v>
      </c>
      <c r="F19" s="160">
        <v>144750</v>
      </c>
      <c r="G19" s="161">
        <v>144750</v>
      </c>
      <c r="H19" s="4"/>
      <c r="I19" s="4"/>
      <c r="J19" s="159">
        <f t="shared" si="18"/>
        <v>13</v>
      </c>
      <c r="K19" s="34">
        <f t="shared" si="0"/>
        <v>39810</v>
      </c>
      <c r="L19" s="34">
        <f t="shared" si="1"/>
        <v>89572.5</v>
      </c>
      <c r="M19" s="34">
        <f t="shared" si="2"/>
        <v>109477.5</v>
      </c>
      <c r="N19" s="34">
        <f t="shared" si="3"/>
        <v>129382.5</v>
      </c>
      <c r="O19" s="34">
        <f t="shared" si="4"/>
        <v>142042.5</v>
      </c>
      <c r="P19" s="163">
        <f t="shared" si="5"/>
        <v>144750</v>
      </c>
    </row>
    <row r="20" spans="1:16" x14ac:dyDescent="0.35">
      <c r="A20" s="159">
        <f t="shared" si="17"/>
        <v>14</v>
      </c>
      <c r="B20" s="160">
        <v>85000</v>
      </c>
      <c r="C20" s="160">
        <v>106250</v>
      </c>
      <c r="D20" s="160">
        <v>127500</v>
      </c>
      <c r="E20" s="160">
        <v>147588</v>
      </c>
      <c r="F20" s="160">
        <v>147588</v>
      </c>
      <c r="G20" s="161">
        <v>147588</v>
      </c>
      <c r="H20" s="4"/>
      <c r="I20" s="4"/>
      <c r="J20" s="159">
        <f t="shared" si="18"/>
        <v>14</v>
      </c>
      <c r="K20" s="34">
        <f t="shared" si="0"/>
        <v>42500</v>
      </c>
      <c r="L20" s="34">
        <f t="shared" si="1"/>
        <v>95625</v>
      </c>
      <c r="M20" s="34">
        <f t="shared" si="2"/>
        <v>116875</v>
      </c>
      <c r="N20" s="34">
        <f t="shared" si="3"/>
        <v>137544</v>
      </c>
      <c r="O20" s="34">
        <f t="shared" si="4"/>
        <v>147588</v>
      </c>
      <c r="P20" s="163">
        <f t="shared" si="5"/>
        <v>147588</v>
      </c>
    </row>
    <row r="21" spans="1:16" x14ac:dyDescent="0.35">
      <c r="A21" s="159">
        <f t="shared" si="17"/>
        <v>15</v>
      </c>
      <c r="B21" s="160">
        <v>90390</v>
      </c>
      <c r="C21" s="160">
        <v>112975</v>
      </c>
      <c r="D21" s="160">
        <v>135570</v>
      </c>
      <c r="E21" s="160">
        <v>150427</v>
      </c>
      <c r="F21" s="160">
        <v>150427</v>
      </c>
      <c r="G21" s="161">
        <v>150427</v>
      </c>
      <c r="H21" s="4"/>
      <c r="I21" s="4"/>
      <c r="J21" s="159">
        <f t="shared" si="18"/>
        <v>15</v>
      </c>
      <c r="K21" s="34">
        <f t="shared" si="0"/>
        <v>45195</v>
      </c>
      <c r="L21" s="34">
        <f t="shared" si="1"/>
        <v>101682.5</v>
      </c>
      <c r="M21" s="34">
        <f t="shared" si="2"/>
        <v>124272.5</v>
      </c>
      <c r="N21" s="34">
        <f t="shared" si="3"/>
        <v>142998.5</v>
      </c>
      <c r="O21" s="34">
        <f t="shared" si="4"/>
        <v>150427</v>
      </c>
      <c r="P21" s="163">
        <f t="shared" si="5"/>
        <v>150427</v>
      </c>
    </row>
    <row r="22" spans="1:16" x14ac:dyDescent="0.35">
      <c r="A22" s="159">
        <f>A21+1</f>
        <v>16</v>
      </c>
      <c r="B22" s="160">
        <v>95760</v>
      </c>
      <c r="C22" s="160">
        <v>119700</v>
      </c>
      <c r="D22" s="160">
        <v>143640</v>
      </c>
      <c r="E22" s="160">
        <v>153265</v>
      </c>
      <c r="F22" s="160">
        <v>153265</v>
      </c>
      <c r="G22" s="161">
        <v>153265</v>
      </c>
      <c r="H22" s="4"/>
      <c r="I22" s="4"/>
      <c r="J22" s="159">
        <f>J21+1</f>
        <v>16</v>
      </c>
      <c r="K22" s="34">
        <f t="shared" si="0"/>
        <v>47880</v>
      </c>
      <c r="L22" s="34">
        <f t="shared" si="1"/>
        <v>107730</v>
      </c>
      <c r="M22" s="34">
        <f t="shared" si="2"/>
        <v>131670</v>
      </c>
      <c r="N22" s="34">
        <f t="shared" si="3"/>
        <v>148452.5</v>
      </c>
      <c r="O22" s="34">
        <f t="shared" si="4"/>
        <v>153265</v>
      </c>
      <c r="P22" s="163">
        <f t="shared" si="5"/>
        <v>153265</v>
      </c>
    </row>
    <row r="23" spans="1:16" x14ac:dyDescent="0.35">
      <c r="A23" s="159">
        <f>A22+1</f>
        <v>17</v>
      </c>
      <c r="B23" s="160">
        <v>101140</v>
      </c>
      <c r="C23" s="160">
        <v>126425</v>
      </c>
      <c r="D23" s="160">
        <v>151710</v>
      </c>
      <c r="E23" s="160">
        <v>156103</v>
      </c>
      <c r="F23" s="160">
        <v>156103</v>
      </c>
      <c r="G23" s="161">
        <v>156103</v>
      </c>
      <c r="H23" s="4"/>
      <c r="I23" s="4"/>
      <c r="J23" s="164">
        <f>J22+1</f>
        <v>17</v>
      </c>
      <c r="K23" s="165">
        <f t="shared" si="0"/>
        <v>50570</v>
      </c>
      <c r="L23" s="165">
        <f t="shared" si="1"/>
        <v>113782.5</v>
      </c>
      <c r="M23" s="165">
        <f t="shared" si="2"/>
        <v>139067.5</v>
      </c>
      <c r="N23" s="165">
        <f t="shared" si="3"/>
        <v>153906.5</v>
      </c>
      <c r="O23" s="165">
        <f t="shared" si="4"/>
        <v>156103</v>
      </c>
      <c r="P23" s="166">
        <f t="shared" si="5"/>
        <v>156103</v>
      </c>
    </row>
    <row r="24" spans="1:16" x14ac:dyDescent="0.35">
      <c r="A24" s="67"/>
      <c r="G24" s="68"/>
    </row>
    <row r="25" spans="1:16" x14ac:dyDescent="0.35">
      <c r="A25" s="67"/>
      <c r="G25" s="68"/>
    </row>
    <row r="26" spans="1:16" ht="30.75" customHeight="1" x14ac:dyDescent="0.35">
      <c r="A26" s="181" t="s">
        <v>10</v>
      </c>
      <c r="B26" s="182"/>
      <c r="C26" s="182"/>
      <c r="D26" s="182"/>
      <c r="E26" s="182"/>
      <c r="F26" s="182"/>
      <c r="G26" s="183"/>
    </row>
    <row r="27" spans="1:16" x14ac:dyDescent="0.35">
      <c r="A27" s="107" t="s">
        <v>11</v>
      </c>
      <c r="B27" s="72"/>
      <c r="C27" s="72"/>
      <c r="D27" s="72"/>
      <c r="E27" s="72"/>
      <c r="F27" s="72"/>
      <c r="G27" s="105"/>
    </row>
  </sheetData>
  <mergeCells count="1">
    <mergeCell ref="A26:G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21E9-45DD-48E8-A140-D83BB7539269}">
  <sheetPr>
    <tabColor theme="7" tint="-0.249977111117893"/>
  </sheetPr>
  <dimension ref="A1:Q38"/>
  <sheetViews>
    <sheetView workbookViewId="0">
      <selection activeCell="K14" sqref="K14:K19"/>
    </sheetView>
  </sheetViews>
  <sheetFormatPr defaultRowHeight="14.5" x14ac:dyDescent="0.35"/>
  <cols>
    <col min="1" max="1" width="39.453125" bestFit="1" customWidth="1"/>
    <col min="2" max="5" width="10.81640625" customWidth="1"/>
    <col min="6" max="6" width="11.54296875" customWidth="1"/>
    <col min="7" max="13" width="10.81640625" customWidth="1"/>
    <col min="15" max="15" width="13.1796875" customWidth="1"/>
    <col min="16" max="16" width="10" bestFit="1" customWidth="1"/>
  </cols>
  <sheetData>
    <row r="1" spans="1:16" x14ac:dyDescent="0.35">
      <c r="A1" s="29" t="s">
        <v>201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6">
        <f>IF(SUMMARY!C3=Assumptions!B53,Assumptions!F34,(IF(SUMMARY!C3=Assumptions!B54,Assumptions!I34,(IF(SUMMARY!C3=Assumptions!B55,Assumptions!I49,(IF(SUMMARY!C3=Assumptions!B56,Assumptions!F41,(IF(SUMMARY!C3=Assumptions!B57,Assumptions!I41,0)))))))))</f>
        <v>19.2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IF(SUMMARY!C3=Assumptions!B53,Assumptions!F36,(IF(SUMMARY!C3=Assumptions!B54,Assumptions!I36,(IF(SUMMARY!C3=Assumptions!B55,Assumptions!I49,(IF(SUMMARY!C3=Assumptions!B56,Assumptions!F43,(IF(SUMMARY!C3=Assumptions!B57,Assumptions!I43,0)))))))))</f>
        <v>12.5</v>
      </c>
      <c r="C6" s="145"/>
      <c r="D6" s="145"/>
    </row>
    <row r="7" spans="1:16" x14ac:dyDescent="0.35">
      <c r="A7" s="145" t="s">
        <v>131</v>
      </c>
      <c r="B7" s="146">
        <f>SUMMARY!L5</f>
        <v>5.0000000000000001E-3</v>
      </c>
      <c r="C7" s="145"/>
      <c r="D7" s="145"/>
    </row>
    <row r="9" spans="1:16" x14ac:dyDescent="0.35">
      <c r="A9" t="s">
        <v>199</v>
      </c>
    </row>
    <row r="10" spans="1:16" x14ac:dyDescent="0.35">
      <c r="A10" t="s">
        <v>133</v>
      </c>
    </row>
    <row r="11" spans="1:16" x14ac:dyDescent="0.35">
      <c r="A11" t="s">
        <v>196</v>
      </c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Assumptions!$D$24*Assumptions!D2</f>
        <v>995.28000000000009</v>
      </c>
      <c r="C14" s="196">
        <f>VLOOKUP($B$4,'FPL Limits'!$J$3:$P$23,2,FALSE)</f>
        <v>10220</v>
      </c>
      <c r="D14" s="33">
        <f t="shared" ref="D14:D19" si="0">((($B$30*M14)+$B$26)*6+(($C$30*N14)+$C$26)*6)</f>
        <v>523.98054000000002</v>
      </c>
      <c r="E14" s="201">
        <f>D14/C14</f>
        <v>5.1270111545988262E-2</v>
      </c>
      <c r="F14" s="10">
        <f t="shared" ref="F14:F19" si="1">$B$7</f>
        <v>5.0000000000000001E-3</v>
      </c>
      <c r="G14" s="198">
        <f>C14*F14</f>
        <v>51.1</v>
      </c>
      <c r="H14" s="198">
        <f>IF(D14-G14&lt;0,0,D14-G14)</f>
        <v>472.88054</v>
      </c>
      <c r="I14" s="131">
        <f>MAX(ROUND(H14/D14,2),25%)</f>
        <v>0.9</v>
      </c>
      <c r="J14" s="198">
        <f>D14-(D14*I14)</f>
        <v>52.398054000000002</v>
      </c>
      <c r="K14" s="12">
        <f>J14/C14</f>
        <v>5.1270111545988258E-3</v>
      </c>
      <c r="L14" s="13">
        <f>$B$4</f>
        <v>2</v>
      </c>
      <c r="M14" s="13">
        <f>$B$5</f>
        <v>19.2</v>
      </c>
      <c r="N14" s="13">
        <f>$B$6</f>
        <v>12.5</v>
      </c>
      <c r="O14" s="33">
        <f>B14*(D14-J14)</f>
        <v>469356.61666608008</v>
      </c>
      <c r="P14" s="33">
        <f>B14*D14*0.25</f>
        <v>130376.83796280001</v>
      </c>
    </row>
    <row r="15" spans="1:16" x14ac:dyDescent="0.35">
      <c r="A15" s="9" t="s">
        <v>5</v>
      </c>
      <c r="B15" s="9">
        <f>Assumptions!$D$24*Assumptions!D3</f>
        <v>451.70399999999995</v>
      </c>
      <c r="C15" s="196">
        <f>VLOOKUP($B$4,'FPL Limits'!$J$3:$P$23,3,FALSE)</f>
        <v>22995</v>
      </c>
      <c r="D15" s="33">
        <f t="shared" si="0"/>
        <v>523.98054000000002</v>
      </c>
      <c r="E15" s="201">
        <f t="shared" ref="E15:E19" si="2">D15/C15</f>
        <v>2.2786716242661448E-2</v>
      </c>
      <c r="F15" s="10">
        <f t="shared" si="1"/>
        <v>5.0000000000000001E-3</v>
      </c>
      <c r="G15" s="198">
        <f t="shared" ref="G15:G19" si="3">C15*F15</f>
        <v>114.97500000000001</v>
      </c>
      <c r="H15" s="198">
        <f t="shared" ref="H15:H19" si="4">IF(D15-G15&lt;0,0,D15-G15)</f>
        <v>409.00554</v>
      </c>
      <c r="I15" s="131">
        <f>AVERAGE(I14,I19)</f>
        <v>0.57499999999999996</v>
      </c>
      <c r="J15" s="198">
        <f t="shared" ref="J15:J19" si="5">D15-(D15*I15)</f>
        <v>222.69172950000001</v>
      </c>
      <c r="K15" s="12">
        <f t="shared" ref="K15:K19" si="6">J15/C15</f>
        <v>9.6843544031311162E-3</v>
      </c>
      <c r="L15" s="13">
        <f t="shared" ref="L15:L19" si="7">$B$4</f>
        <v>2</v>
      </c>
      <c r="M15" s="13">
        <f t="shared" ref="M15:M19" si="8">$B$5</f>
        <v>19.2</v>
      </c>
      <c r="N15" s="13">
        <f t="shared" ref="N15:N19" si="9">$B$6</f>
        <v>12.5</v>
      </c>
      <c r="O15" s="33">
        <f t="shared" ref="O15:O19" si="10">B15*(D15-J15)</f>
        <v>136093.360858092</v>
      </c>
      <c r="P15" s="33">
        <f t="shared" ref="P15:P19" si="11">B15*D15*0.25</f>
        <v>59171.026460039997</v>
      </c>
    </row>
    <row r="16" spans="1:16" x14ac:dyDescent="0.35">
      <c r="A16" s="9" t="s">
        <v>6</v>
      </c>
      <c r="B16" s="9">
        <f>Assumptions!$D$24*Assumptions!D4</f>
        <v>447.87600000000003</v>
      </c>
      <c r="C16" s="196">
        <f>VLOOKUP($B$4,'FPL Limits'!$J$3:$P$23,4,FALSE)</f>
        <v>28105</v>
      </c>
      <c r="D16" s="33">
        <f t="shared" si="0"/>
        <v>523.98054000000002</v>
      </c>
      <c r="E16" s="201">
        <f t="shared" si="2"/>
        <v>1.8643676925813913E-2</v>
      </c>
      <c r="F16" s="10">
        <f t="shared" si="1"/>
        <v>5.0000000000000001E-3</v>
      </c>
      <c r="G16" s="198">
        <f t="shared" si="3"/>
        <v>140.52500000000001</v>
      </c>
      <c r="H16" s="198">
        <f t="shared" si="4"/>
        <v>383.45554000000004</v>
      </c>
      <c r="I16" s="131">
        <f>I15</f>
        <v>0.57499999999999996</v>
      </c>
      <c r="J16" s="198">
        <f t="shared" si="5"/>
        <v>222.69172950000001</v>
      </c>
      <c r="K16" s="12">
        <f t="shared" si="6"/>
        <v>7.923562693470913E-3</v>
      </c>
      <c r="L16" s="13">
        <f t="shared" si="7"/>
        <v>2</v>
      </c>
      <c r="M16" s="13">
        <f t="shared" si="8"/>
        <v>19.2</v>
      </c>
      <c r="N16" s="13">
        <f t="shared" si="9"/>
        <v>12.5</v>
      </c>
      <c r="O16" s="33">
        <f t="shared" si="10"/>
        <v>134940.027291498</v>
      </c>
      <c r="P16" s="33">
        <f t="shared" si="11"/>
        <v>58669.57708326001</v>
      </c>
    </row>
    <row r="17" spans="1:17" x14ac:dyDescent="0.35">
      <c r="A17" s="9" t="s">
        <v>7</v>
      </c>
      <c r="B17" s="9">
        <f>Assumptions!$D$24*Assumptions!D5</f>
        <v>440.22</v>
      </c>
      <c r="C17" s="196">
        <f>VLOOKUP($B$4,'FPL Limits'!$J$3:$P$23,5,FALSE)</f>
        <v>33215</v>
      </c>
      <c r="D17" s="33">
        <f t="shared" si="0"/>
        <v>523.98054000000002</v>
      </c>
      <c r="E17" s="201">
        <f t="shared" si="2"/>
        <v>1.5775418937227156E-2</v>
      </c>
      <c r="F17" s="10">
        <f t="shared" si="1"/>
        <v>5.0000000000000001E-3</v>
      </c>
      <c r="G17" s="198">
        <f t="shared" si="3"/>
        <v>166.07500000000002</v>
      </c>
      <c r="H17" s="198">
        <f t="shared" si="4"/>
        <v>357.90553999999997</v>
      </c>
      <c r="I17" s="131">
        <f>I15</f>
        <v>0.57499999999999996</v>
      </c>
      <c r="J17" s="198">
        <f t="shared" si="5"/>
        <v>222.69172950000001</v>
      </c>
      <c r="K17" s="12">
        <f t="shared" si="6"/>
        <v>6.7045530483215415E-3</v>
      </c>
      <c r="L17" s="13">
        <f t="shared" si="7"/>
        <v>2</v>
      </c>
      <c r="M17" s="13">
        <f t="shared" si="8"/>
        <v>19.2</v>
      </c>
      <c r="N17" s="13">
        <f t="shared" si="9"/>
        <v>12.5</v>
      </c>
      <c r="O17" s="33">
        <f t="shared" si="10"/>
        <v>132633.36015831001</v>
      </c>
      <c r="P17" s="33">
        <f t="shared" si="11"/>
        <v>57666.678329700007</v>
      </c>
    </row>
    <row r="18" spans="1:17" x14ac:dyDescent="0.35">
      <c r="A18" s="9" t="s">
        <v>150</v>
      </c>
      <c r="B18" s="9">
        <f>Assumptions!$D$24*Assumptions!D6</f>
        <v>401.94</v>
      </c>
      <c r="C18" s="196">
        <f>VLOOKUP($B$4,'FPL Limits'!$J$3:$P$23,6,FALSE)</f>
        <v>38325</v>
      </c>
      <c r="D18" s="33">
        <f t="shared" si="0"/>
        <v>523.98054000000002</v>
      </c>
      <c r="E18" s="201">
        <f t="shared" si="2"/>
        <v>1.3672029745596869E-2</v>
      </c>
      <c r="F18" s="10">
        <f t="shared" si="1"/>
        <v>5.0000000000000001E-3</v>
      </c>
      <c r="G18" s="198">
        <f t="shared" si="3"/>
        <v>191.625</v>
      </c>
      <c r="H18" s="198">
        <f t="shared" si="4"/>
        <v>332.35554000000002</v>
      </c>
      <c r="I18" s="131">
        <f>I15</f>
        <v>0.57499999999999996</v>
      </c>
      <c r="J18" s="198">
        <f t="shared" si="5"/>
        <v>222.69172950000001</v>
      </c>
      <c r="K18" s="12">
        <f t="shared" si="6"/>
        <v>5.8106126418786697E-3</v>
      </c>
      <c r="L18" s="13">
        <f t="shared" si="7"/>
        <v>2</v>
      </c>
      <c r="M18" s="13">
        <f t="shared" si="8"/>
        <v>19.2</v>
      </c>
      <c r="N18" s="13">
        <f t="shared" si="9"/>
        <v>12.5</v>
      </c>
      <c r="O18" s="33">
        <f t="shared" si="10"/>
        <v>121100.02449237001</v>
      </c>
      <c r="P18" s="33">
        <f t="shared" si="11"/>
        <v>52652.184561900001</v>
      </c>
    </row>
    <row r="19" spans="1:17" x14ac:dyDescent="0.35">
      <c r="A19" s="9" t="s">
        <v>9</v>
      </c>
      <c r="B19" s="9">
        <f>Assumptions!$D$24*Assumptions!D7</f>
        <v>1090.98</v>
      </c>
      <c r="C19" s="196">
        <f>VLOOKUP($B$4,'FPL Limits'!$J$3:$P$23,7,FALSE)</f>
        <v>52606.5</v>
      </c>
      <c r="D19" s="33">
        <f t="shared" si="0"/>
        <v>523.98054000000002</v>
      </c>
      <c r="E19" s="201">
        <f t="shared" si="2"/>
        <v>9.9603763793447587E-3</v>
      </c>
      <c r="F19" s="10">
        <f t="shared" si="1"/>
        <v>5.0000000000000001E-3</v>
      </c>
      <c r="G19" s="198">
        <f t="shared" si="3"/>
        <v>263.03250000000003</v>
      </c>
      <c r="H19" s="198">
        <f t="shared" si="4"/>
        <v>260.94803999999999</v>
      </c>
      <c r="I19" s="131">
        <v>0.25</v>
      </c>
      <c r="J19" s="198">
        <f t="shared" si="5"/>
        <v>392.98540500000001</v>
      </c>
      <c r="K19" s="12">
        <f t="shared" si="6"/>
        <v>7.4702822845085686E-3</v>
      </c>
      <c r="L19" s="13">
        <f t="shared" si="7"/>
        <v>2</v>
      </c>
      <c r="M19" s="13">
        <f t="shared" si="8"/>
        <v>19.2</v>
      </c>
      <c r="N19" s="140">
        <f t="shared" si="9"/>
        <v>12.5</v>
      </c>
      <c r="O19" s="141">
        <f t="shared" si="10"/>
        <v>142913.07238230002</v>
      </c>
      <c r="P19" s="141">
        <f t="shared" si="11"/>
        <v>142913.07238230002</v>
      </c>
    </row>
    <row r="20" spans="1:17" x14ac:dyDescent="0.3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2" t="s">
        <v>151</v>
      </c>
      <c r="O20" s="139">
        <f>SUM(O14:O19)</f>
        <v>1137036.4618486501</v>
      </c>
      <c r="P20" s="139">
        <f>SUM(P14:P19)</f>
        <v>501449.37678000005</v>
      </c>
    </row>
    <row r="21" spans="1:17" x14ac:dyDescent="0.35">
      <c r="O21" s="142" t="s">
        <v>169</v>
      </c>
      <c r="P21" s="139">
        <f>O20-P20</f>
        <v>635587.08506865008</v>
      </c>
      <c r="Q21" s="143">
        <f>P21/P20</f>
        <v>1.2675000000000001</v>
      </c>
    </row>
    <row r="23" spans="1:17" x14ac:dyDescent="0.35">
      <c r="A23" s="7" t="s">
        <v>200</v>
      </c>
    </row>
    <row r="25" spans="1:17" x14ac:dyDescent="0.35">
      <c r="A25" s="1" t="s">
        <v>202</v>
      </c>
      <c r="B25" s="25">
        <v>45597</v>
      </c>
      <c r="C25" s="25">
        <v>45413</v>
      </c>
      <c r="F25" s="1"/>
      <c r="G25" s="25"/>
      <c r="H25" s="25"/>
    </row>
    <row r="26" spans="1:17" x14ac:dyDescent="0.35">
      <c r="A26" t="s">
        <v>154</v>
      </c>
      <c r="B26" s="17">
        <v>12.2</v>
      </c>
      <c r="C26" s="17">
        <v>12.2</v>
      </c>
      <c r="G26" s="93"/>
      <c r="H26" s="93"/>
    </row>
    <row r="27" spans="1:17" x14ac:dyDescent="0.35">
      <c r="A27" t="s">
        <v>188</v>
      </c>
      <c r="B27" s="90">
        <v>0.1017</v>
      </c>
      <c r="C27" s="90">
        <v>8.5000000000000006E-2</v>
      </c>
      <c r="G27" s="90"/>
      <c r="H27" s="90"/>
    </row>
    <row r="28" spans="1:17" x14ac:dyDescent="0.35">
      <c r="A28" t="s">
        <v>189</v>
      </c>
      <c r="B28" s="26">
        <v>1.6787000000000001</v>
      </c>
      <c r="C28" s="26">
        <v>1.2938000000000001</v>
      </c>
      <c r="G28" s="91"/>
      <c r="H28" s="91"/>
    </row>
    <row r="29" spans="1:17" ht="16" x14ac:dyDescent="0.5">
      <c r="A29" s="20" t="s">
        <v>190</v>
      </c>
      <c r="B29" s="27">
        <v>0.59650000000000003</v>
      </c>
      <c r="C29" s="27">
        <v>0.24590000000000001</v>
      </c>
      <c r="F29" s="20"/>
      <c r="G29" s="92"/>
      <c r="H29" s="92"/>
    </row>
    <row r="30" spans="1:17" x14ac:dyDescent="0.35">
      <c r="A30" t="s">
        <v>191</v>
      </c>
      <c r="B30" s="28">
        <f>B28+B29</f>
        <v>2.2751999999999999</v>
      </c>
      <c r="C30" s="28">
        <f>C28+C29</f>
        <v>1.5397000000000001</v>
      </c>
      <c r="G30" s="94"/>
      <c r="H30" s="94"/>
    </row>
    <row r="31" spans="1:17" x14ac:dyDescent="0.35">
      <c r="A31" t="s">
        <v>192</v>
      </c>
      <c r="B31" s="26">
        <f>SUM(B27:B29)</f>
        <v>2.3769</v>
      </c>
      <c r="C31" s="26">
        <f>SUM(C27:C29)</f>
        <v>1.6247</v>
      </c>
      <c r="G31" s="91"/>
      <c r="H31" s="91"/>
    </row>
    <row r="32" spans="1:17" x14ac:dyDescent="0.35">
      <c r="A32" t="s">
        <v>160</v>
      </c>
      <c r="B32" s="86">
        <f>B27/B31</f>
        <v>4.2786823173040514E-2</v>
      </c>
      <c r="C32" s="86">
        <f>C27/C31</f>
        <v>5.2317350895549952E-2</v>
      </c>
      <c r="G32" s="86"/>
      <c r="H32" s="86"/>
    </row>
    <row r="34" spans="1:8" x14ac:dyDescent="0.35">
      <c r="A34" t="s">
        <v>193</v>
      </c>
    </row>
    <row r="35" spans="1:8" x14ac:dyDescent="0.35">
      <c r="A35" t="s">
        <v>162</v>
      </c>
      <c r="B35" s="64">
        <f>B27+(B27*Q21)</f>
        <v>0.23060475000000002</v>
      </c>
      <c r="C35" s="64">
        <f>C27+(C27*Q21)</f>
        <v>0.19273750000000001</v>
      </c>
      <c r="G35" s="64"/>
      <c r="H35" s="64"/>
    </row>
    <row r="36" spans="1:8" x14ac:dyDescent="0.35">
      <c r="A36" t="s">
        <v>191</v>
      </c>
      <c r="B36" s="64">
        <f>B30</f>
        <v>2.2751999999999999</v>
      </c>
      <c r="C36" s="64">
        <f>C30</f>
        <v>1.5397000000000001</v>
      </c>
      <c r="G36" s="64"/>
      <c r="H36" s="64"/>
    </row>
    <row r="37" spans="1:8" x14ac:dyDescent="0.35">
      <c r="A37" t="s">
        <v>194</v>
      </c>
      <c r="B37" s="64">
        <f>B35+B36</f>
        <v>2.5058047499999998</v>
      </c>
      <c r="C37" s="64">
        <f>C35+C36</f>
        <v>1.7324375000000001</v>
      </c>
      <c r="G37" s="64"/>
      <c r="H37" s="64"/>
    </row>
    <row r="38" spans="1:8" x14ac:dyDescent="0.35">
      <c r="A38" t="s">
        <v>164</v>
      </c>
      <c r="B38" s="86">
        <f>B35/B37</f>
        <v>9.2028219676732609E-2</v>
      </c>
      <c r="C38" s="86">
        <f>C35/C37</f>
        <v>0.11125220967567373</v>
      </c>
      <c r="G38" s="86"/>
      <c r="H38" s="86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E770-118A-4693-AC2B-B9838888E862}">
  <sheetPr>
    <tabColor theme="7" tint="0.79998168889431442"/>
  </sheetPr>
  <dimension ref="A1:Q40"/>
  <sheetViews>
    <sheetView workbookViewId="0">
      <selection activeCell="K14" sqref="K14:K19"/>
    </sheetView>
  </sheetViews>
  <sheetFormatPr defaultRowHeight="14.5" x14ac:dyDescent="0.35"/>
  <cols>
    <col min="1" max="1" width="39.453125" bestFit="1" customWidth="1"/>
    <col min="2" max="2" width="9.54296875" bestFit="1" customWidth="1"/>
    <col min="3" max="5" width="10.81640625" customWidth="1"/>
    <col min="6" max="6" width="11.7265625" customWidth="1"/>
    <col min="7" max="13" width="10.81640625" customWidth="1"/>
    <col min="15" max="15" width="12.453125" customWidth="1"/>
    <col min="16" max="16" width="11.54296875" bestFit="1" customWidth="1"/>
  </cols>
  <sheetData>
    <row r="1" spans="1:16" x14ac:dyDescent="0.35">
      <c r="A1" s="29" t="s">
        <v>203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8">
        <f>IF(SUMMARY!C3=Assumptions!B53,Assumptions!G35,(IF(SUMMARY!C3=Assumptions!B54,Assumptions!I35,(IF(SUMMARY!C3=Assumptions!B55,Assumptions!I47,(IF(SUMMARY!C3=Assumptions!B56,Assumptions!G42,(IF(SUMMARY!C3=Assumptions!B57,Assumptions!I42,0)))))))))</f>
        <v>120.8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IF(SUMMARY!C3=Assumptions!B53,Assumptions!G37,(IF(SUMMARY!C3=Assumptions!B54,Assumptions!I37,(IF(SUMMARY!C3=Assumptions!B55,Assumptions!I48,(IF(SUMMARY!C3=Assumptions!B56,Assumptions!G44,(IF(SUMMARY!C3=Assumptions!B57,Assumptions!I44,0)))))))))</f>
        <v>9</v>
      </c>
      <c r="C6" s="145"/>
      <c r="D6" s="145"/>
    </row>
    <row r="7" spans="1:16" x14ac:dyDescent="0.35">
      <c r="A7" s="145" t="s">
        <v>131</v>
      </c>
      <c r="B7" s="146">
        <f>SUMMARY!L4</f>
        <v>0.02</v>
      </c>
      <c r="C7" s="145"/>
      <c r="D7" s="145"/>
    </row>
    <row r="9" spans="1:16" x14ac:dyDescent="0.35">
      <c r="A9" t="s">
        <v>204</v>
      </c>
    </row>
    <row r="10" spans="1:16" x14ac:dyDescent="0.35">
      <c r="A10" t="s">
        <v>183</v>
      </c>
    </row>
    <row r="11" spans="1:16" x14ac:dyDescent="0.35">
      <c r="A11" s="1"/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Assumptions!$F$29*Assumptions!D2</f>
        <v>1772.94</v>
      </c>
      <c r="C14" s="196">
        <f>VLOOKUP($B$4,'FPL Limits'!$J$3:$P$23,2,FALSE)</f>
        <v>10220</v>
      </c>
      <c r="D14" s="33">
        <f t="shared" ref="D14:D19" si="0">((($B$30*M14)+$B$26)*6+(($C$30*N14)+$C$26)*6)</f>
        <v>1509.9461999999999</v>
      </c>
      <c r="E14" s="201">
        <f>D14/C14</f>
        <v>0.14774424657534246</v>
      </c>
      <c r="F14" s="201">
        <f t="shared" ref="F14:F19" si="1">$B$7</f>
        <v>0.02</v>
      </c>
      <c r="G14" s="198">
        <f>C14*F14</f>
        <v>204.4</v>
      </c>
      <c r="H14" s="198">
        <f>IF(D14-G14&lt;0,0,D14-G14)</f>
        <v>1305.5461999999998</v>
      </c>
      <c r="I14" s="131">
        <f>MAX(ROUND(H14/D14,2),25%)</f>
        <v>0.86</v>
      </c>
      <c r="J14" s="198">
        <f>D14-(D14*I14)</f>
        <v>211.39246800000001</v>
      </c>
      <c r="K14" s="12">
        <f>J14/C14</f>
        <v>2.0684194520547945E-2</v>
      </c>
      <c r="L14" s="13">
        <f>$B$4</f>
        <v>2</v>
      </c>
      <c r="M14" s="13">
        <f>$B$5</f>
        <v>120.8</v>
      </c>
      <c r="N14" s="13">
        <f>$B$6</f>
        <v>9</v>
      </c>
      <c r="O14" s="33">
        <f>B14*(D14-J14)</f>
        <v>2302257.8536120798</v>
      </c>
      <c r="P14" s="33">
        <f>B14*D14*0.25</f>
        <v>669261.00395699998</v>
      </c>
    </row>
    <row r="15" spans="1:16" x14ac:dyDescent="0.35">
      <c r="A15" s="9" t="s">
        <v>5</v>
      </c>
      <c r="B15" s="9">
        <f>Assumptions!$F$29*Assumptions!D3</f>
        <v>804.64199999999994</v>
      </c>
      <c r="C15" s="196">
        <f>VLOOKUP($B$4,'FPL Limits'!$J$3:$P$23,3,FALSE)</f>
        <v>22995</v>
      </c>
      <c r="D15" s="33">
        <f t="shared" si="0"/>
        <v>1509.9461999999999</v>
      </c>
      <c r="E15" s="201">
        <f t="shared" ref="E15:E19" si="2">D15/C15</f>
        <v>6.5664109589041092E-2</v>
      </c>
      <c r="F15" s="201">
        <f t="shared" si="1"/>
        <v>0.02</v>
      </c>
      <c r="G15" s="198">
        <f t="shared" ref="G15:G19" si="3">C15*F15</f>
        <v>459.90000000000003</v>
      </c>
      <c r="H15" s="198">
        <f t="shared" ref="H15:H19" si="4">IF(D15-G15&lt;0,0,D15-G15)</f>
        <v>1050.0461999999998</v>
      </c>
      <c r="I15" s="131">
        <f>AVERAGE(I14,I19)</f>
        <v>0.55499999999999994</v>
      </c>
      <c r="J15" s="198">
        <f t="shared" ref="J15:J19" si="5">D15-(D15*I15)</f>
        <v>671.92605900000001</v>
      </c>
      <c r="K15" s="12">
        <f t="shared" ref="K15:K19" si="6">J15/C15</f>
        <v>2.9220528767123288E-2</v>
      </c>
      <c r="L15" s="13">
        <f t="shared" ref="L15:L19" si="7">$B$4</f>
        <v>2</v>
      </c>
      <c r="M15" s="13">
        <f t="shared" ref="M15:M19" si="8">$B$5</f>
        <v>120.8</v>
      </c>
      <c r="N15" s="13">
        <f t="shared" ref="N15:N19" si="9">$B$6</f>
        <v>9</v>
      </c>
      <c r="O15" s="33">
        <f t="shared" ref="O15:O19" si="10">B15*(D15-J15)</f>
        <v>674306.20229452185</v>
      </c>
      <c r="P15" s="33">
        <f t="shared" ref="P15:P19" si="11">B15*D15*0.25</f>
        <v>303741.53256509994</v>
      </c>
    </row>
    <row r="16" spans="1:16" x14ac:dyDescent="0.35">
      <c r="A16" s="9" t="s">
        <v>6</v>
      </c>
      <c r="B16" s="9">
        <f>Assumptions!$F$29*Assumptions!D4</f>
        <v>797.82300000000009</v>
      </c>
      <c r="C16" s="196">
        <f>VLOOKUP($B$4,'FPL Limits'!$J$3:$P$23,4,FALSE)</f>
        <v>28105</v>
      </c>
      <c r="D16" s="33">
        <f t="shared" si="0"/>
        <v>1509.9461999999999</v>
      </c>
      <c r="E16" s="201">
        <f t="shared" si="2"/>
        <v>5.3725180572851798E-2</v>
      </c>
      <c r="F16" s="201">
        <f t="shared" si="1"/>
        <v>0.02</v>
      </c>
      <c r="G16" s="198">
        <f t="shared" si="3"/>
        <v>562.1</v>
      </c>
      <c r="H16" s="198">
        <f t="shared" si="4"/>
        <v>947.84619999999984</v>
      </c>
      <c r="I16" s="131">
        <f>I15</f>
        <v>0.55499999999999994</v>
      </c>
      <c r="J16" s="198">
        <f t="shared" si="5"/>
        <v>671.92605900000001</v>
      </c>
      <c r="K16" s="12">
        <f t="shared" si="6"/>
        <v>2.3907705354919054E-2</v>
      </c>
      <c r="L16" s="13">
        <f t="shared" si="7"/>
        <v>2</v>
      </c>
      <c r="M16" s="13">
        <f t="shared" si="8"/>
        <v>120.8</v>
      </c>
      <c r="N16" s="13">
        <f t="shared" si="9"/>
        <v>9</v>
      </c>
      <c r="O16" s="33">
        <f t="shared" si="10"/>
        <v>668591.74295304297</v>
      </c>
      <c r="P16" s="33">
        <f t="shared" si="11"/>
        <v>301167.45178065001</v>
      </c>
    </row>
    <row r="17" spans="1:17" x14ac:dyDescent="0.35">
      <c r="A17" s="9" t="s">
        <v>7</v>
      </c>
      <c r="B17" s="9">
        <f>Assumptions!$F$29*Assumptions!D5</f>
        <v>784.18500000000006</v>
      </c>
      <c r="C17" s="196">
        <f>VLOOKUP($B$4,'FPL Limits'!$J$3:$P$23,5,FALSE)</f>
        <v>33215</v>
      </c>
      <c r="D17" s="33">
        <f t="shared" si="0"/>
        <v>1509.9461999999999</v>
      </c>
      <c r="E17" s="201">
        <f t="shared" si="2"/>
        <v>4.5459768177028445E-2</v>
      </c>
      <c r="F17" s="201">
        <f t="shared" si="1"/>
        <v>0.02</v>
      </c>
      <c r="G17" s="198">
        <f t="shared" si="3"/>
        <v>664.30000000000007</v>
      </c>
      <c r="H17" s="198">
        <f t="shared" si="4"/>
        <v>845.64619999999979</v>
      </c>
      <c r="I17" s="131">
        <f>I15</f>
        <v>0.55499999999999994</v>
      </c>
      <c r="J17" s="198">
        <f t="shared" si="5"/>
        <v>671.92605900000001</v>
      </c>
      <c r="K17" s="12">
        <f t="shared" si="6"/>
        <v>2.0229596838777661E-2</v>
      </c>
      <c r="L17" s="13">
        <f t="shared" si="7"/>
        <v>2</v>
      </c>
      <c r="M17" s="13">
        <f t="shared" si="8"/>
        <v>120.8</v>
      </c>
      <c r="N17" s="13">
        <f t="shared" si="9"/>
        <v>9</v>
      </c>
      <c r="O17" s="33">
        <f t="shared" si="10"/>
        <v>657162.82427008497</v>
      </c>
      <c r="P17" s="33">
        <f t="shared" si="11"/>
        <v>296019.29021175002</v>
      </c>
    </row>
    <row r="18" spans="1:17" x14ac:dyDescent="0.35">
      <c r="A18" s="9" t="s">
        <v>150</v>
      </c>
      <c r="B18" s="9">
        <f>Assumptions!$F$29*Assumptions!D6</f>
        <v>715.995</v>
      </c>
      <c r="C18" s="196">
        <f>VLOOKUP($B$4,'FPL Limits'!$J$3:$P$23,6,FALSE)</f>
        <v>38325</v>
      </c>
      <c r="D18" s="33">
        <f t="shared" si="0"/>
        <v>1509.9461999999999</v>
      </c>
      <c r="E18" s="201">
        <f t="shared" si="2"/>
        <v>3.9398465753424657E-2</v>
      </c>
      <c r="F18" s="201">
        <f t="shared" si="1"/>
        <v>0.02</v>
      </c>
      <c r="G18" s="198">
        <f t="shared" si="3"/>
        <v>766.5</v>
      </c>
      <c r="H18" s="198">
        <f t="shared" si="4"/>
        <v>743.44619999999986</v>
      </c>
      <c r="I18" s="131">
        <f>I15</f>
        <v>0.55499999999999994</v>
      </c>
      <c r="J18" s="198">
        <f t="shared" si="5"/>
        <v>671.92605900000001</v>
      </c>
      <c r="K18" s="12">
        <f t="shared" si="6"/>
        <v>1.7532317260273971E-2</v>
      </c>
      <c r="L18" s="13">
        <f t="shared" si="7"/>
        <v>2</v>
      </c>
      <c r="M18" s="13">
        <f t="shared" si="8"/>
        <v>120.8</v>
      </c>
      <c r="N18" s="13">
        <f t="shared" si="9"/>
        <v>9</v>
      </c>
      <c r="O18" s="33">
        <f t="shared" si="10"/>
        <v>600018.23085529485</v>
      </c>
      <c r="P18" s="33">
        <f t="shared" si="11"/>
        <v>270278.48236724996</v>
      </c>
    </row>
    <row r="19" spans="1:17" x14ac:dyDescent="0.35">
      <c r="A19" s="9" t="s">
        <v>9</v>
      </c>
      <c r="B19" s="9">
        <f>Assumptions!$F$29*Assumptions!D7</f>
        <v>1943.4149999999997</v>
      </c>
      <c r="C19" s="196">
        <f>VLOOKUP($B$4,'FPL Limits'!$J$3:$P$23,7,FALSE)</f>
        <v>52606.5</v>
      </c>
      <c r="D19" s="33">
        <f t="shared" si="0"/>
        <v>1509.9461999999999</v>
      </c>
      <c r="E19" s="201">
        <f t="shared" si="2"/>
        <v>2.8702654614924009E-2</v>
      </c>
      <c r="F19" s="201">
        <f t="shared" si="1"/>
        <v>0.02</v>
      </c>
      <c r="G19" s="198">
        <f t="shared" si="3"/>
        <v>1052.1300000000001</v>
      </c>
      <c r="H19" s="198">
        <f t="shared" si="4"/>
        <v>457.81619999999975</v>
      </c>
      <c r="I19" s="131">
        <v>0.25</v>
      </c>
      <c r="J19" s="198">
        <f t="shared" si="5"/>
        <v>1132.4596499999998</v>
      </c>
      <c r="K19" s="12">
        <f t="shared" si="6"/>
        <v>2.1526990961193003E-2</v>
      </c>
      <c r="L19" s="13">
        <f t="shared" si="7"/>
        <v>2</v>
      </c>
      <c r="M19" s="13">
        <f t="shared" si="8"/>
        <v>120.8</v>
      </c>
      <c r="N19" s="140">
        <f t="shared" si="9"/>
        <v>9</v>
      </c>
      <c r="O19" s="141">
        <f t="shared" si="10"/>
        <v>733613.02356825001</v>
      </c>
      <c r="P19" s="141">
        <f t="shared" si="11"/>
        <v>733613.02356824989</v>
      </c>
    </row>
    <row r="20" spans="1:17" x14ac:dyDescent="0.3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2" t="s">
        <v>151</v>
      </c>
      <c r="O20" s="139">
        <f>SUM(O14:O19)</f>
        <v>5635949.8775532739</v>
      </c>
      <c r="P20" s="139">
        <f>SUM(P14:P19)</f>
        <v>2574080.7844499997</v>
      </c>
    </row>
    <row r="21" spans="1:17" x14ac:dyDescent="0.35">
      <c r="O21" s="142" t="s">
        <v>169</v>
      </c>
      <c r="P21" s="139">
        <f>O20-P20</f>
        <v>3061869.0931032742</v>
      </c>
      <c r="Q21" s="143">
        <f>P21/P20</f>
        <v>1.1894999999999998</v>
      </c>
    </row>
    <row r="23" spans="1:17" x14ac:dyDescent="0.35">
      <c r="A23" s="1" t="s">
        <v>205</v>
      </c>
    </row>
    <row r="25" spans="1:17" x14ac:dyDescent="0.35">
      <c r="A25" s="1" t="s">
        <v>187</v>
      </c>
      <c r="B25" s="25">
        <v>45597</v>
      </c>
      <c r="C25" s="25">
        <v>45413</v>
      </c>
      <c r="F25" s="1"/>
      <c r="G25" s="25"/>
      <c r="H25" s="25"/>
    </row>
    <row r="26" spans="1:17" x14ac:dyDescent="0.35">
      <c r="A26" t="s">
        <v>154</v>
      </c>
      <c r="B26" s="17">
        <v>11.42</v>
      </c>
      <c r="C26" s="17">
        <v>11.42</v>
      </c>
      <c r="G26" s="89"/>
      <c r="H26" s="89"/>
    </row>
    <row r="27" spans="1:17" x14ac:dyDescent="0.35">
      <c r="A27" t="s">
        <v>188</v>
      </c>
      <c r="B27" s="90">
        <v>3.0499999999999999E-2</v>
      </c>
      <c r="C27" s="90">
        <v>5.4600000000000003E-2</v>
      </c>
      <c r="G27" s="90"/>
      <c r="H27" s="90"/>
    </row>
    <row r="28" spans="1:17" x14ac:dyDescent="0.35">
      <c r="A28" t="s">
        <v>189</v>
      </c>
      <c r="B28" s="28">
        <v>0.89510000000000012</v>
      </c>
      <c r="C28" s="28">
        <v>0.97870000000000001</v>
      </c>
      <c r="G28" s="91"/>
      <c r="H28" s="91"/>
    </row>
    <row r="29" spans="1:17" ht="16" x14ac:dyDescent="0.5">
      <c r="A29" s="20" t="s">
        <v>190</v>
      </c>
      <c r="B29" s="27">
        <v>0.90439999999999998</v>
      </c>
      <c r="C29" s="27">
        <v>0.29220000000000002</v>
      </c>
      <c r="F29" s="20"/>
      <c r="G29" s="92"/>
      <c r="H29" s="92"/>
    </row>
    <row r="30" spans="1:17" x14ac:dyDescent="0.35">
      <c r="A30" t="s">
        <v>191</v>
      </c>
      <c r="B30" s="28">
        <f>B28+B29</f>
        <v>1.7995000000000001</v>
      </c>
      <c r="C30" s="28">
        <f>C28+C29</f>
        <v>1.2709000000000001</v>
      </c>
      <c r="G30" s="94"/>
      <c r="H30" s="94"/>
    </row>
    <row r="31" spans="1:17" x14ac:dyDescent="0.35">
      <c r="A31" t="s">
        <v>192</v>
      </c>
      <c r="B31" s="26">
        <f>SUM(B27:B29)</f>
        <v>1.83</v>
      </c>
      <c r="C31" s="26">
        <f>SUM(C27:C29)</f>
        <v>1.3255000000000001</v>
      </c>
      <c r="G31" s="91"/>
      <c r="H31" s="91"/>
    </row>
    <row r="32" spans="1:17" x14ac:dyDescent="0.35">
      <c r="A32" t="s">
        <v>160</v>
      </c>
      <c r="B32" s="86">
        <f>B27/B31</f>
        <v>1.6666666666666666E-2</v>
      </c>
      <c r="C32" s="86">
        <f>C27/C31</f>
        <v>4.1192003017729156E-2</v>
      </c>
      <c r="G32" s="86"/>
      <c r="H32" s="86"/>
    </row>
    <row r="34" spans="1:8" x14ac:dyDescent="0.35">
      <c r="A34" t="s">
        <v>193</v>
      </c>
    </row>
    <row r="35" spans="1:8" x14ac:dyDescent="0.35">
      <c r="A35" t="s">
        <v>162</v>
      </c>
      <c r="B35" s="64">
        <f>B27+(B27*Q21)</f>
        <v>6.6779749999999999E-2</v>
      </c>
      <c r="C35" s="64">
        <f>C27+(C27*Q21)</f>
        <v>0.11954670000000001</v>
      </c>
      <c r="G35" s="64"/>
      <c r="H35" s="64"/>
    </row>
    <row r="36" spans="1:8" x14ac:dyDescent="0.35">
      <c r="A36" t="s">
        <v>191</v>
      </c>
      <c r="B36" s="64">
        <f>B30</f>
        <v>1.7995000000000001</v>
      </c>
      <c r="C36" s="64">
        <f>C30</f>
        <v>1.2709000000000001</v>
      </c>
      <c r="G36" s="64"/>
      <c r="H36" s="64"/>
    </row>
    <row r="37" spans="1:8" x14ac:dyDescent="0.35">
      <c r="A37" t="s">
        <v>194</v>
      </c>
      <c r="B37" s="64">
        <f>B35+B36</f>
        <v>1.8662797500000001</v>
      </c>
      <c r="C37" s="64">
        <f>C35+C36</f>
        <v>1.3904467</v>
      </c>
      <c r="G37" s="64"/>
      <c r="H37" s="64"/>
    </row>
    <row r="38" spans="1:8" x14ac:dyDescent="0.35">
      <c r="A38" t="s">
        <v>164</v>
      </c>
      <c r="B38" s="86">
        <f>B35/B37</f>
        <v>3.5782282908015259E-2</v>
      </c>
      <c r="C38" s="86">
        <f>C35/C37</f>
        <v>8.5977189920332805E-2</v>
      </c>
      <c r="G38" s="86"/>
      <c r="H38" s="86"/>
    </row>
    <row r="40" spans="1:8" x14ac:dyDescent="0.35">
      <c r="G40" s="7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8F659-C564-49F0-9C78-127B06C689D6}">
  <sheetPr>
    <tabColor theme="7" tint="0.79998168889431442"/>
  </sheetPr>
  <dimension ref="A1:Q38"/>
  <sheetViews>
    <sheetView workbookViewId="0">
      <selection activeCell="K14" sqref="K14:K19"/>
    </sheetView>
  </sheetViews>
  <sheetFormatPr defaultRowHeight="14.5" x14ac:dyDescent="0.35"/>
  <cols>
    <col min="1" max="1" width="39.453125" bestFit="1" customWidth="1"/>
    <col min="2" max="2" width="10.54296875" customWidth="1"/>
    <col min="3" max="4" width="10.81640625" customWidth="1"/>
    <col min="5" max="5" width="10.7265625" customWidth="1"/>
    <col min="6" max="13" width="10.81640625" customWidth="1"/>
    <col min="15" max="15" width="12.81640625" customWidth="1"/>
    <col min="16" max="16" width="9.54296875" bestFit="1" customWidth="1"/>
  </cols>
  <sheetData>
    <row r="1" spans="1:16" x14ac:dyDescent="0.35">
      <c r="A1" s="29" t="s">
        <v>206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6">
        <f>IF(SUMMARY!C3=Assumptions!B53,Assumptions!G34,(IF(SUMMARY!C3=Assumptions!B54,Assumptions!I34,(IF(SUMMARY!C3=Assumptions!B55,Assumptions!I49,(IF(SUMMARY!C3=Assumptions!B56,Assumptions!G41,(IF(SUMMARY!C3=Assumptions!B57,Assumptions!I41,0)))))))))</f>
        <v>15.8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IF(SUMMARY!C3=Assumptions!B53,Assumptions!G36,(IF(SUMMARY!C3=Assumptions!B54,Assumptions!I36,(IF(SUMMARY!C3=Assumptions!B55,Assumptions!I49,(IF(SUMMARY!C3=Assumptions!B56,Assumptions!G43,(IF(SUMMARY!C3=Assumptions!B57,Assumptions!I43,0)))))))))</f>
        <v>12.5</v>
      </c>
      <c r="C6" s="145"/>
      <c r="D6" s="145"/>
    </row>
    <row r="7" spans="1:16" x14ac:dyDescent="0.35">
      <c r="A7" s="145" t="s">
        <v>131</v>
      </c>
      <c r="B7" s="146">
        <f>SUMMARY!L5</f>
        <v>5.0000000000000001E-3</v>
      </c>
      <c r="C7" s="145"/>
      <c r="D7" s="145"/>
    </row>
    <row r="9" spans="1:16" x14ac:dyDescent="0.35">
      <c r="A9" t="s">
        <v>204</v>
      </c>
    </row>
    <row r="10" spans="1:16" x14ac:dyDescent="0.35">
      <c r="A10" t="s">
        <v>196</v>
      </c>
    </row>
    <row r="11" spans="1:16" x14ac:dyDescent="0.35">
      <c r="A11" s="1"/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Assumptions!$D$29*Assumptions!D2</f>
        <v>146.12</v>
      </c>
      <c r="C14" s="196">
        <f>VLOOKUP($B$4,'FPL Limits'!$J$3:$P$23,2,FALSE)</f>
        <v>10220</v>
      </c>
      <c r="D14" s="33">
        <f t="shared" ref="D14:D19" si="0">((($B$30*M14)+$B$26)*6+(($C$30*N14)+$C$26)*6)</f>
        <v>498.75126</v>
      </c>
      <c r="E14" s="201">
        <f>D14/C14</f>
        <v>4.8801493150684931E-2</v>
      </c>
      <c r="F14" s="10">
        <f t="shared" ref="F14:F19" si="1">$B$7</f>
        <v>5.0000000000000001E-3</v>
      </c>
      <c r="G14" s="198">
        <f>C14*F14</f>
        <v>51.1</v>
      </c>
      <c r="H14" s="198">
        <f>IF(D14-G14&lt;0,0,D14-G14)</f>
        <v>447.65125999999998</v>
      </c>
      <c r="I14" s="131">
        <f>MAX(ROUND(H14/D14,2),25%)</f>
        <v>0.9</v>
      </c>
      <c r="J14" s="198">
        <f>D14-(D14*I14)</f>
        <v>49.875125999999966</v>
      </c>
      <c r="K14" s="12">
        <f>J14/C14</f>
        <v>4.8801493150684898E-3</v>
      </c>
      <c r="L14" s="13">
        <f>$B$4</f>
        <v>2</v>
      </c>
      <c r="M14" s="13">
        <f>$B$5</f>
        <v>15.8</v>
      </c>
      <c r="N14" s="13">
        <f>$B$6</f>
        <v>12.5</v>
      </c>
      <c r="O14" s="33">
        <f>B14*(D14-J14)</f>
        <v>65589.780700080009</v>
      </c>
      <c r="P14" s="33">
        <f>B14*D14*0.25</f>
        <v>18219.383527800001</v>
      </c>
    </row>
    <row r="15" spans="1:16" x14ac:dyDescent="0.35">
      <c r="A15" s="9" t="s">
        <v>5</v>
      </c>
      <c r="B15" s="9">
        <f>Assumptions!$D$29*Assumptions!D3</f>
        <v>66.316000000000003</v>
      </c>
      <c r="C15" s="196">
        <f>VLOOKUP($B$4,'FPL Limits'!$J$3:$P$23,3,FALSE)</f>
        <v>22995</v>
      </c>
      <c r="D15" s="33">
        <f t="shared" si="0"/>
        <v>498.75126</v>
      </c>
      <c r="E15" s="201">
        <f t="shared" ref="E15:E19" si="2">D15/C15</f>
        <v>2.1689552511415525E-2</v>
      </c>
      <c r="F15" s="10">
        <f t="shared" si="1"/>
        <v>5.0000000000000001E-3</v>
      </c>
      <c r="G15" s="198">
        <f t="shared" ref="G15:G19" si="3">C15*F15</f>
        <v>114.97500000000001</v>
      </c>
      <c r="H15" s="198">
        <f t="shared" ref="H15:H19" si="4">IF(D15-G15&lt;0,0,D15-G15)</f>
        <v>383.77625999999998</v>
      </c>
      <c r="I15" s="131">
        <f>AVERAGE(I14,I19)</f>
        <v>0.57499999999999996</v>
      </c>
      <c r="J15" s="198">
        <f t="shared" ref="J15:J19" si="5">D15-(D15*I15)</f>
        <v>211.96928550000001</v>
      </c>
      <c r="K15" s="12">
        <f t="shared" ref="K15:K19" si="6">J15/C15</f>
        <v>9.2180598173515985E-3</v>
      </c>
      <c r="L15" s="13">
        <f t="shared" ref="L15:L19" si="7">$B$4</f>
        <v>2</v>
      </c>
      <c r="M15" s="13">
        <f t="shared" ref="M15:M19" si="8">$B$5</f>
        <v>15.8</v>
      </c>
      <c r="N15" s="13">
        <f t="shared" ref="N15:N19" si="9">$B$6</f>
        <v>12.5</v>
      </c>
      <c r="O15" s="33">
        <f t="shared" ref="O15:O19" si="10">B15*(D15-J15)</f>
        <v>19018.233420942001</v>
      </c>
      <c r="P15" s="33">
        <f t="shared" ref="P15:P19" si="11">B15*D15*0.25</f>
        <v>8268.79713954</v>
      </c>
    </row>
    <row r="16" spans="1:16" x14ac:dyDescent="0.35">
      <c r="A16" s="9" t="s">
        <v>6</v>
      </c>
      <c r="B16" s="9">
        <f>Assumptions!$D$29*Assumptions!D4</f>
        <v>65.754000000000005</v>
      </c>
      <c r="C16" s="196">
        <f>VLOOKUP($B$4,'FPL Limits'!$J$3:$P$23,4,FALSE)</f>
        <v>28105</v>
      </c>
      <c r="D16" s="33">
        <f t="shared" si="0"/>
        <v>498.75126</v>
      </c>
      <c r="E16" s="201">
        <f t="shared" si="2"/>
        <v>1.7745997509339976E-2</v>
      </c>
      <c r="F16" s="10">
        <f t="shared" si="1"/>
        <v>5.0000000000000001E-3</v>
      </c>
      <c r="G16" s="198">
        <f t="shared" si="3"/>
        <v>140.52500000000001</v>
      </c>
      <c r="H16" s="198">
        <f t="shared" si="4"/>
        <v>358.22626000000002</v>
      </c>
      <c r="I16" s="131">
        <f>I15</f>
        <v>0.57499999999999996</v>
      </c>
      <c r="J16" s="198">
        <f t="shared" si="5"/>
        <v>211.96928550000001</v>
      </c>
      <c r="K16" s="12">
        <f t="shared" si="6"/>
        <v>7.54204894146949E-3</v>
      </c>
      <c r="L16" s="13">
        <f t="shared" si="7"/>
        <v>2</v>
      </c>
      <c r="M16" s="13">
        <f t="shared" si="8"/>
        <v>15.8</v>
      </c>
      <c r="N16" s="13">
        <f t="shared" si="9"/>
        <v>12.5</v>
      </c>
      <c r="O16" s="33">
        <f t="shared" si="10"/>
        <v>18857.061951273001</v>
      </c>
      <c r="P16" s="33">
        <f t="shared" si="11"/>
        <v>8198.7225875100012</v>
      </c>
    </row>
    <row r="17" spans="1:17" x14ac:dyDescent="0.35">
      <c r="A17" s="9" t="s">
        <v>7</v>
      </c>
      <c r="B17" s="9">
        <f>Assumptions!$D$29*Assumptions!D5</f>
        <v>64.63000000000001</v>
      </c>
      <c r="C17" s="196">
        <f>VLOOKUP($B$4,'FPL Limits'!$J$3:$P$23,5,FALSE)</f>
        <v>33215</v>
      </c>
      <c r="D17" s="33">
        <f t="shared" si="0"/>
        <v>498.75126</v>
      </c>
      <c r="E17" s="201">
        <f t="shared" si="2"/>
        <v>1.5015844046364595E-2</v>
      </c>
      <c r="F17" s="10">
        <f t="shared" si="1"/>
        <v>5.0000000000000001E-3</v>
      </c>
      <c r="G17" s="198">
        <f t="shared" si="3"/>
        <v>166.07500000000002</v>
      </c>
      <c r="H17" s="198">
        <f t="shared" si="4"/>
        <v>332.67625999999996</v>
      </c>
      <c r="I17" s="131">
        <f>I15</f>
        <v>0.57499999999999996</v>
      </c>
      <c r="J17" s="198">
        <f t="shared" si="5"/>
        <v>211.96928550000001</v>
      </c>
      <c r="K17" s="12">
        <f t="shared" si="6"/>
        <v>6.3817337197049533E-3</v>
      </c>
      <c r="L17" s="13">
        <f t="shared" si="7"/>
        <v>2</v>
      </c>
      <c r="M17" s="13">
        <f t="shared" si="8"/>
        <v>15.8</v>
      </c>
      <c r="N17" s="13">
        <f t="shared" si="9"/>
        <v>12.5</v>
      </c>
      <c r="O17" s="33">
        <f t="shared" si="10"/>
        <v>18534.719011935002</v>
      </c>
      <c r="P17" s="33">
        <f t="shared" si="11"/>
        <v>8058.5734834500008</v>
      </c>
    </row>
    <row r="18" spans="1:17" x14ac:dyDescent="0.35">
      <c r="A18" s="9" t="s">
        <v>150</v>
      </c>
      <c r="B18" s="9">
        <f>Assumptions!$D$29*Assumptions!D6</f>
        <v>59.01</v>
      </c>
      <c r="C18" s="196">
        <f>VLOOKUP($B$4,'FPL Limits'!$J$3:$P$23,6,FALSE)</f>
        <v>38325</v>
      </c>
      <c r="D18" s="33">
        <f t="shared" si="0"/>
        <v>498.75126</v>
      </c>
      <c r="E18" s="201">
        <f t="shared" si="2"/>
        <v>1.3013731506849315E-2</v>
      </c>
      <c r="F18" s="10">
        <f t="shared" si="1"/>
        <v>5.0000000000000001E-3</v>
      </c>
      <c r="G18" s="198">
        <f t="shared" si="3"/>
        <v>191.625</v>
      </c>
      <c r="H18" s="198">
        <f t="shared" si="4"/>
        <v>307.12626</v>
      </c>
      <c r="I18" s="131">
        <f>I15</f>
        <v>0.57499999999999996</v>
      </c>
      <c r="J18" s="198">
        <f t="shared" si="5"/>
        <v>211.96928550000001</v>
      </c>
      <c r="K18" s="12">
        <f t="shared" si="6"/>
        <v>5.5308358904109589E-3</v>
      </c>
      <c r="L18" s="13">
        <f t="shared" si="7"/>
        <v>2</v>
      </c>
      <c r="M18" s="13">
        <f t="shared" si="8"/>
        <v>15.8</v>
      </c>
      <c r="N18" s="13">
        <f t="shared" si="9"/>
        <v>12.5</v>
      </c>
      <c r="O18" s="33">
        <f t="shared" si="10"/>
        <v>16923.004315244998</v>
      </c>
      <c r="P18" s="33">
        <f t="shared" si="11"/>
        <v>7357.82796315</v>
      </c>
    </row>
    <row r="19" spans="1:17" x14ac:dyDescent="0.35">
      <c r="A19" s="9" t="s">
        <v>9</v>
      </c>
      <c r="B19" s="9">
        <f>Assumptions!$D$29*Assumptions!D7</f>
        <v>160.16999999999999</v>
      </c>
      <c r="C19" s="196">
        <f>VLOOKUP($B$4,'FPL Limits'!$J$3:$P$23,7,FALSE)</f>
        <v>52606.5</v>
      </c>
      <c r="D19" s="33">
        <f t="shared" si="0"/>
        <v>498.75126</v>
      </c>
      <c r="E19" s="201">
        <f t="shared" si="2"/>
        <v>9.4807915371674604E-3</v>
      </c>
      <c r="F19" s="10">
        <f t="shared" si="1"/>
        <v>5.0000000000000001E-3</v>
      </c>
      <c r="G19" s="198">
        <f t="shared" si="3"/>
        <v>263.03250000000003</v>
      </c>
      <c r="H19" s="198">
        <f t="shared" si="4"/>
        <v>235.71875999999997</v>
      </c>
      <c r="I19" s="131">
        <v>0.25</v>
      </c>
      <c r="J19" s="198">
        <f t="shared" si="5"/>
        <v>374.063445</v>
      </c>
      <c r="K19" s="12">
        <f t="shared" si="6"/>
        <v>7.1105936528755949E-3</v>
      </c>
      <c r="L19" s="13">
        <f t="shared" si="7"/>
        <v>2</v>
      </c>
      <c r="M19" s="13">
        <f t="shared" si="8"/>
        <v>15.8</v>
      </c>
      <c r="N19" s="140">
        <f t="shared" si="9"/>
        <v>12.5</v>
      </c>
      <c r="O19" s="141">
        <f t="shared" si="10"/>
        <v>19971.247328549998</v>
      </c>
      <c r="P19" s="141">
        <f t="shared" si="11"/>
        <v>19971.247328549998</v>
      </c>
    </row>
    <row r="20" spans="1:17" x14ac:dyDescent="0.35">
      <c r="N20" s="142" t="s">
        <v>151</v>
      </c>
      <c r="O20" s="139">
        <f>SUM(O14:O19)</f>
        <v>158894.04672802502</v>
      </c>
      <c r="P20" s="139">
        <f>SUM(P14:P19)</f>
        <v>70074.552029999992</v>
      </c>
    </row>
    <row r="21" spans="1:17" x14ac:dyDescent="0.35">
      <c r="O21" s="142" t="s">
        <v>169</v>
      </c>
      <c r="P21" s="139">
        <f>O20-P20</f>
        <v>88819.494698025024</v>
      </c>
      <c r="Q21" s="143">
        <f>P21/P20</f>
        <v>1.2675000000000005</v>
      </c>
    </row>
    <row r="22" spans="1:17" x14ac:dyDescent="0.35">
      <c r="P22" s="5"/>
    </row>
    <row r="23" spans="1:17" x14ac:dyDescent="0.35">
      <c r="A23" s="1" t="s">
        <v>205</v>
      </c>
    </row>
    <row r="25" spans="1:17" x14ac:dyDescent="0.35">
      <c r="A25" s="1" t="s">
        <v>202</v>
      </c>
      <c r="B25" s="25">
        <v>45597</v>
      </c>
      <c r="C25" s="25">
        <v>45413</v>
      </c>
      <c r="E25" s="1"/>
      <c r="F25" s="25"/>
      <c r="G25" s="25"/>
    </row>
    <row r="26" spans="1:17" x14ac:dyDescent="0.35">
      <c r="A26" t="s">
        <v>154</v>
      </c>
      <c r="B26" s="17">
        <v>11.42</v>
      </c>
      <c r="C26" s="17">
        <v>11.42</v>
      </c>
      <c r="F26" s="89"/>
      <c r="G26" s="89"/>
    </row>
    <row r="27" spans="1:17" x14ac:dyDescent="0.35">
      <c r="A27" t="s">
        <v>188</v>
      </c>
      <c r="B27" s="90">
        <v>3.0499999999999999E-2</v>
      </c>
      <c r="C27" s="90">
        <v>5.4600000000000003E-2</v>
      </c>
      <c r="F27" s="90"/>
      <c r="G27" s="90"/>
    </row>
    <row r="28" spans="1:17" x14ac:dyDescent="0.35">
      <c r="A28" t="s">
        <v>189</v>
      </c>
      <c r="B28" s="28">
        <v>1.4592999999999998</v>
      </c>
      <c r="C28" s="28">
        <v>1.5428999999999999</v>
      </c>
      <c r="F28" s="91"/>
      <c r="G28" s="91"/>
    </row>
    <row r="29" spans="1:17" ht="16" x14ac:dyDescent="0.5">
      <c r="A29" s="20" t="s">
        <v>190</v>
      </c>
      <c r="B29" s="27">
        <v>0.90439999999999998</v>
      </c>
      <c r="C29" s="27">
        <v>0.29220000000000002</v>
      </c>
      <c r="E29" s="20"/>
      <c r="F29" s="92"/>
      <c r="G29" s="92"/>
    </row>
    <row r="30" spans="1:17" x14ac:dyDescent="0.35">
      <c r="A30" t="s">
        <v>191</v>
      </c>
      <c r="B30" s="28">
        <f>B28+B29</f>
        <v>2.3636999999999997</v>
      </c>
      <c r="C30" s="28">
        <f>C28+C29</f>
        <v>1.8351</v>
      </c>
      <c r="F30" s="94"/>
      <c r="G30" s="94"/>
    </row>
    <row r="31" spans="1:17" x14ac:dyDescent="0.35">
      <c r="A31" t="s">
        <v>192</v>
      </c>
      <c r="B31" s="26">
        <f>SUM(B27:B29)</f>
        <v>2.3941999999999997</v>
      </c>
      <c r="C31" s="26">
        <f>SUM(C27:C29)</f>
        <v>1.8896999999999999</v>
      </c>
      <c r="F31" s="91"/>
      <c r="G31" s="91"/>
    </row>
    <row r="32" spans="1:17" x14ac:dyDescent="0.35">
      <c r="A32" t="s">
        <v>160</v>
      </c>
      <c r="B32" s="86">
        <f>B27/B31</f>
        <v>1.2739119538885641E-2</v>
      </c>
      <c r="C32" s="86">
        <f>C27/C31</f>
        <v>2.8893475154786477E-2</v>
      </c>
      <c r="F32" s="86"/>
      <c r="G32" s="86"/>
    </row>
    <row r="34" spans="1:7" x14ac:dyDescent="0.35">
      <c r="A34" t="s">
        <v>193</v>
      </c>
    </row>
    <row r="35" spans="1:7" x14ac:dyDescent="0.35">
      <c r="A35" t="s">
        <v>162</v>
      </c>
      <c r="B35" s="64">
        <f>B27+(B27*Q21)</f>
        <v>6.9158750000000019E-2</v>
      </c>
      <c r="C35" s="64">
        <f>C27+(C27*Q21)</f>
        <v>0.12380550000000004</v>
      </c>
      <c r="F35" s="64"/>
      <c r="G35" s="64"/>
    </row>
    <row r="36" spans="1:7" x14ac:dyDescent="0.35">
      <c r="A36" t="s">
        <v>191</v>
      </c>
      <c r="B36" s="64">
        <f>B30</f>
        <v>2.3636999999999997</v>
      </c>
      <c r="C36" s="64">
        <f>C30</f>
        <v>1.8351</v>
      </c>
      <c r="F36" s="64"/>
      <c r="G36" s="64"/>
    </row>
    <row r="37" spans="1:7" x14ac:dyDescent="0.35">
      <c r="A37" t="s">
        <v>194</v>
      </c>
      <c r="B37" s="64">
        <f>B35+B36</f>
        <v>2.4328587499999998</v>
      </c>
      <c r="C37" s="64">
        <f>C35+C36</f>
        <v>1.9589055</v>
      </c>
      <c r="F37" s="64"/>
      <c r="G37" s="64"/>
    </row>
    <row r="38" spans="1:7" x14ac:dyDescent="0.35">
      <c r="A38" t="s">
        <v>164</v>
      </c>
      <c r="B38" s="86">
        <f>B35/B37</f>
        <v>2.8426948338040596E-2</v>
      </c>
      <c r="C38" s="86">
        <f>C35/C37</f>
        <v>6.3201364231199542E-2</v>
      </c>
      <c r="F38" s="86"/>
      <c r="G38" s="8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0897-2C83-4F61-B498-72E0048FCBB9}">
  <sheetPr>
    <tabColor theme="7" tint="-0.249977111117893"/>
  </sheetPr>
  <dimension ref="A1:Q38"/>
  <sheetViews>
    <sheetView workbookViewId="0">
      <selection activeCell="K14" sqref="K14:K19"/>
    </sheetView>
  </sheetViews>
  <sheetFormatPr defaultRowHeight="14.5" x14ac:dyDescent="0.35"/>
  <cols>
    <col min="1" max="1" width="39.453125" bestFit="1" customWidth="1"/>
    <col min="2" max="2" width="9.54296875" bestFit="1" customWidth="1"/>
    <col min="3" max="4" width="10.81640625" customWidth="1"/>
    <col min="5" max="5" width="10.453125" customWidth="1"/>
    <col min="6" max="13" width="10.81640625" customWidth="1"/>
    <col min="15" max="16" width="11.54296875" bestFit="1" customWidth="1"/>
  </cols>
  <sheetData>
    <row r="1" spans="1:16" x14ac:dyDescent="0.35">
      <c r="A1" s="29" t="s">
        <v>207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8">
        <f>IF(SUMMARY!C3=Assumptions!B53,Assumptions!C35,(IF(SUMMARY!C3=Assumptions!B54,Assumptions!I35,(IF(SUMMARY!C3=Assumptions!B55,Assumptions!I47,(IF(SUMMARY!C3=Assumptions!B56,Assumptions!C42,(IF(SUMMARY!C3=Assumptions!B57,Assumptions!I42,0)))))))))</f>
        <v>109.2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IF(SUMMARY!C3=Assumptions!B53,Assumptions!C37,(IF(SUMMARY!C3=Assumptions!B54,Assumptions!I37,(IF(SUMMARY!C3=Assumptions!B55,Assumptions!I48,(IF(SUMMARY!C3=Assumptions!B56,Assumptions!C44,(IF(SUMMARY!C3=Assumptions!B57,Assumptions!I44,0)))))))))</f>
        <v>25.8</v>
      </c>
      <c r="C6" s="145"/>
      <c r="D6" s="145"/>
    </row>
    <row r="7" spans="1:16" x14ac:dyDescent="0.35">
      <c r="A7" s="145" t="s">
        <v>131</v>
      </c>
      <c r="B7" s="146">
        <f>SUMMARY!L4</f>
        <v>0.02</v>
      </c>
      <c r="C7" s="145"/>
      <c r="D7" s="145"/>
    </row>
    <row r="9" spans="1:16" x14ac:dyDescent="0.35">
      <c r="A9" t="s">
        <v>166</v>
      </c>
    </row>
    <row r="10" spans="1:16" x14ac:dyDescent="0.35">
      <c r="A10" t="s">
        <v>167</v>
      </c>
    </row>
    <row r="11" spans="1:16" x14ac:dyDescent="0.35">
      <c r="A11" t="s">
        <v>183</v>
      </c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Assumptions!$F$27*Assumptions!D2</f>
        <v>915.2</v>
      </c>
      <c r="C14" s="196">
        <f>VLOOKUP($B$4,'FPL Limits'!$J$3:$P$23,2,FALSE)</f>
        <v>10220</v>
      </c>
      <c r="D14" s="33">
        <f t="shared" ref="D14:D19" si="0">((($B$30*M14)+$B$26)*6+(($C$30*N14)+$C$26)*6)</f>
        <v>2552.5760399999999</v>
      </c>
      <c r="E14" s="201">
        <f>D14/C14</f>
        <v>0.24976282191780821</v>
      </c>
      <c r="F14" s="201">
        <f t="shared" ref="F14:F19" si="1">$B$7</f>
        <v>0.02</v>
      </c>
      <c r="G14" s="198">
        <f>C14*F14</f>
        <v>204.4</v>
      </c>
      <c r="H14" s="198">
        <f>IF(D14-G14&lt;0,0,D14-G14)</f>
        <v>2348.1760399999998</v>
      </c>
      <c r="I14" s="131">
        <f>MAX(ROUND(H14/D14,2),25%)</f>
        <v>0.92</v>
      </c>
      <c r="J14" s="198">
        <f>D14-(D14*I14)</f>
        <v>204.20608319999974</v>
      </c>
      <c r="K14" s="12">
        <f>J14/C14</f>
        <v>1.9981025753424631E-2</v>
      </c>
      <c r="L14" s="13">
        <f>$B$4</f>
        <v>2</v>
      </c>
      <c r="M14" s="13">
        <f>$B$5</f>
        <v>109.2</v>
      </c>
      <c r="N14" s="13">
        <f>$B$6</f>
        <v>25.8</v>
      </c>
      <c r="O14" s="33">
        <f>B14*(D14-J14)</f>
        <v>2149228.1844633603</v>
      </c>
      <c r="P14" s="33">
        <f>B14*D14*0.25</f>
        <v>584029.39795200003</v>
      </c>
    </row>
    <row r="15" spans="1:16" x14ac:dyDescent="0.35">
      <c r="A15" s="9" t="s">
        <v>5</v>
      </c>
      <c r="B15" s="9">
        <f>Assumptions!$F$27*Assumptions!D3</f>
        <v>415.35999999999996</v>
      </c>
      <c r="C15" s="196">
        <f>VLOOKUP($B$4,'FPL Limits'!$J$3:$P$23,3,FALSE)</f>
        <v>22995</v>
      </c>
      <c r="D15" s="33">
        <f t="shared" si="0"/>
        <v>2552.5760399999999</v>
      </c>
      <c r="E15" s="201">
        <f t="shared" ref="E15:E19" si="2">D15/C15</f>
        <v>0.11100569863013698</v>
      </c>
      <c r="F15" s="201">
        <f t="shared" si="1"/>
        <v>0.02</v>
      </c>
      <c r="G15" s="198">
        <f t="shared" ref="G15:G19" si="3">C15*F15</f>
        <v>459.90000000000003</v>
      </c>
      <c r="H15" s="198">
        <f t="shared" ref="H15:H19" si="4">IF(D15-G15&lt;0,0,D15-G15)</f>
        <v>2092.6760399999998</v>
      </c>
      <c r="I15" s="131">
        <f>AVERAGE(I14,I19)</f>
        <v>0.58499999999999996</v>
      </c>
      <c r="J15" s="198">
        <f t="shared" ref="J15:J19" si="5">D15-(D15*I15)</f>
        <v>1059.3190566000001</v>
      </c>
      <c r="K15" s="12">
        <f t="shared" ref="K15:K19" si="6">J15/C15</f>
        <v>4.606736493150685E-2</v>
      </c>
      <c r="L15" s="13">
        <f t="shared" ref="L15:L19" si="7">$B$4</f>
        <v>2</v>
      </c>
      <c r="M15" s="13">
        <f t="shared" ref="M15:M19" si="8">$B$5</f>
        <v>109.2</v>
      </c>
      <c r="N15" s="13">
        <f t="shared" ref="N15:N19" si="9">$B$6</f>
        <v>25.8</v>
      </c>
      <c r="O15" s="33">
        <f t="shared" ref="O15:O19" si="10">B15*(D15-J15)</f>
        <v>620239.22062502382</v>
      </c>
      <c r="P15" s="33">
        <f t="shared" ref="P15:P19" si="11">B15*D15*0.25</f>
        <v>265059.49599359994</v>
      </c>
    </row>
    <row r="16" spans="1:16" x14ac:dyDescent="0.35">
      <c r="A16" s="9" t="s">
        <v>6</v>
      </c>
      <c r="B16" s="9">
        <f>Assumptions!$F$27*Assumptions!D4</f>
        <v>411.84000000000003</v>
      </c>
      <c r="C16" s="196">
        <f>VLOOKUP($B$4,'FPL Limits'!$J$3:$P$23,4,FALSE)</f>
        <v>28105</v>
      </c>
      <c r="D16" s="33">
        <f t="shared" si="0"/>
        <v>2552.5760399999999</v>
      </c>
      <c r="E16" s="201">
        <f t="shared" si="2"/>
        <v>9.0822844333748445E-2</v>
      </c>
      <c r="F16" s="201">
        <f t="shared" si="1"/>
        <v>0.02</v>
      </c>
      <c r="G16" s="198">
        <f t="shared" si="3"/>
        <v>562.1</v>
      </c>
      <c r="H16" s="198">
        <f t="shared" si="4"/>
        <v>1990.47604</v>
      </c>
      <c r="I16" s="131">
        <f>I15</f>
        <v>0.58499999999999996</v>
      </c>
      <c r="J16" s="198">
        <f t="shared" si="5"/>
        <v>1059.3190566000001</v>
      </c>
      <c r="K16" s="12">
        <f t="shared" si="6"/>
        <v>3.7691480398505603E-2</v>
      </c>
      <c r="L16" s="13">
        <f t="shared" si="7"/>
        <v>2</v>
      </c>
      <c r="M16" s="13">
        <f t="shared" si="8"/>
        <v>109.2</v>
      </c>
      <c r="N16" s="13">
        <f t="shared" si="9"/>
        <v>25.8</v>
      </c>
      <c r="O16" s="33">
        <f t="shared" si="10"/>
        <v>614982.95604345598</v>
      </c>
      <c r="P16" s="33">
        <f t="shared" si="11"/>
        <v>262813.22907840001</v>
      </c>
    </row>
    <row r="17" spans="1:17" x14ac:dyDescent="0.35">
      <c r="A17" s="9" t="s">
        <v>7</v>
      </c>
      <c r="B17" s="9">
        <f>Assumptions!$F$27*Assumptions!D5</f>
        <v>404.8</v>
      </c>
      <c r="C17" s="196">
        <f>VLOOKUP($B$4,'FPL Limits'!$J$3:$P$23,5,FALSE)</f>
        <v>33215</v>
      </c>
      <c r="D17" s="33">
        <f t="shared" si="0"/>
        <v>2552.5760399999999</v>
      </c>
      <c r="E17" s="201">
        <f t="shared" si="2"/>
        <v>7.68500990516333E-2</v>
      </c>
      <c r="F17" s="201">
        <f t="shared" si="1"/>
        <v>0.02</v>
      </c>
      <c r="G17" s="198">
        <f t="shared" si="3"/>
        <v>664.30000000000007</v>
      </c>
      <c r="H17" s="198">
        <f t="shared" si="4"/>
        <v>1888.2760399999997</v>
      </c>
      <c r="I17" s="131">
        <f>I15</f>
        <v>0.58499999999999996</v>
      </c>
      <c r="J17" s="198">
        <f t="shared" si="5"/>
        <v>1059.3190566000001</v>
      </c>
      <c r="K17" s="12">
        <f t="shared" si="6"/>
        <v>3.1892791106427822E-2</v>
      </c>
      <c r="L17" s="13">
        <f t="shared" si="7"/>
        <v>2</v>
      </c>
      <c r="M17" s="13">
        <f t="shared" si="8"/>
        <v>109.2</v>
      </c>
      <c r="N17" s="13">
        <f t="shared" si="9"/>
        <v>25.8</v>
      </c>
      <c r="O17" s="33">
        <f t="shared" si="10"/>
        <v>604470.42688031995</v>
      </c>
      <c r="P17" s="33">
        <f t="shared" si="11"/>
        <v>258320.695248</v>
      </c>
    </row>
    <row r="18" spans="1:17" x14ac:dyDescent="0.35">
      <c r="A18" s="9" t="s">
        <v>150</v>
      </c>
      <c r="B18" s="9">
        <f>Assumptions!$F$27*Assumptions!D6</f>
        <v>369.59999999999997</v>
      </c>
      <c r="C18" s="196">
        <f>VLOOKUP($B$4,'FPL Limits'!$J$3:$P$23,6,FALSE)</f>
        <v>38325</v>
      </c>
      <c r="D18" s="33">
        <f t="shared" si="0"/>
        <v>2552.5760399999999</v>
      </c>
      <c r="E18" s="201">
        <f t="shared" si="2"/>
        <v>6.6603419178082185E-2</v>
      </c>
      <c r="F18" s="201">
        <f t="shared" si="1"/>
        <v>0.02</v>
      </c>
      <c r="G18" s="198">
        <f t="shared" si="3"/>
        <v>766.5</v>
      </c>
      <c r="H18" s="198">
        <f t="shared" si="4"/>
        <v>1786.0760399999999</v>
      </c>
      <c r="I18" s="131">
        <f>I15</f>
        <v>0.58499999999999996</v>
      </c>
      <c r="J18" s="198">
        <f t="shared" si="5"/>
        <v>1059.3190566000001</v>
      </c>
      <c r="K18" s="12">
        <f t="shared" si="6"/>
        <v>2.7640418958904112E-2</v>
      </c>
      <c r="L18" s="13">
        <f t="shared" si="7"/>
        <v>2</v>
      </c>
      <c r="M18" s="13">
        <f t="shared" si="8"/>
        <v>109.2</v>
      </c>
      <c r="N18" s="13">
        <f t="shared" si="9"/>
        <v>25.8</v>
      </c>
      <c r="O18" s="33">
        <f t="shared" si="10"/>
        <v>551907.78106463992</v>
      </c>
      <c r="P18" s="33">
        <f t="shared" si="11"/>
        <v>235858.02609599996</v>
      </c>
    </row>
    <row r="19" spans="1:17" x14ac:dyDescent="0.35">
      <c r="A19" s="9" t="s">
        <v>9</v>
      </c>
      <c r="B19" s="9">
        <f>Assumptions!$F$27*Assumptions!D7</f>
        <v>1003.1999999999999</v>
      </c>
      <c r="C19" s="196">
        <f>VLOOKUP($B$4,'FPL Limits'!$J$3:$P$23,7,FALSE)</f>
        <v>52606.5</v>
      </c>
      <c r="D19" s="33">
        <f t="shared" si="0"/>
        <v>2552.5760399999999</v>
      </c>
      <c r="E19" s="201">
        <f t="shared" si="2"/>
        <v>4.8522065524222294E-2</v>
      </c>
      <c r="F19" s="201">
        <f t="shared" si="1"/>
        <v>0.02</v>
      </c>
      <c r="G19" s="198">
        <f t="shared" si="3"/>
        <v>1052.1300000000001</v>
      </c>
      <c r="H19" s="198">
        <f t="shared" si="4"/>
        <v>1500.4460399999998</v>
      </c>
      <c r="I19" s="131">
        <v>0.25</v>
      </c>
      <c r="J19" s="198">
        <f t="shared" si="5"/>
        <v>1914.4320299999999</v>
      </c>
      <c r="K19" s="12">
        <f t="shared" si="6"/>
        <v>3.6391549143166717E-2</v>
      </c>
      <c r="L19" s="13">
        <f t="shared" si="7"/>
        <v>2</v>
      </c>
      <c r="M19" s="13">
        <f t="shared" si="8"/>
        <v>109.2</v>
      </c>
      <c r="N19" s="140">
        <f t="shared" si="9"/>
        <v>25.8</v>
      </c>
      <c r="O19" s="141">
        <f t="shared" si="10"/>
        <v>640186.07083199988</v>
      </c>
      <c r="P19" s="141">
        <f t="shared" si="11"/>
        <v>640186.07083199988</v>
      </c>
    </row>
    <row r="20" spans="1:17" x14ac:dyDescent="0.35">
      <c r="N20" s="142" t="s">
        <v>151</v>
      </c>
      <c r="O20" s="139">
        <f>SUM(O14:O19)</f>
        <v>5181014.6399088008</v>
      </c>
      <c r="P20" s="139">
        <f>SUM(P14:P19)</f>
        <v>2246266.9151999997</v>
      </c>
    </row>
    <row r="21" spans="1:17" x14ac:dyDescent="0.35">
      <c r="O21" s="142" t="s">
        <v>169</v>
      </c>
      <c r="P21" s="139">
        <f>O20-P20</f>
        <v>2934747.7247088011</v>
      </c>
      <c r="Q21" s="143">
        <f>P21/P20</f>
        <v>1.3065000000000007</v>
      </c>
    </row>
    <row r="22" spans="1:17" x14ac:dyDescent="0.35">
      <c r="I22" s="45"/>
      <c r="P22" s="5"/>
      <c r="Q22" s="45"/>
    </row>
    <row r="23" spans="1:17" x14ac:dyDescent="0.35">
      <c r="A23" s="7" t="s">
        <v>170</v>
      </c>
    </row>
    <row r="25" spans="1:17" x14ac:dyDescent="0.35">
      <c r="A25" s="1" t="s">
        <v>187</v>
      </c>
      <c r="B25" s="25">
        <v>45597</v>
      </c>
      <c r="C25" s="25">
        <v>45413</v>
      </c>
      <c r="E25" s="1"/>
      <c r="F25" s="25"/>
      <c r="G25" s="25"/>
    </row>
    <row r="26" spans="1:17" x14ac:dyDescent="0.35">
      <c r="A26" t="s">
        <v>154</v>
      </c>
      <c r="B26" s="17">
        <v>12.5</v>
      </c>
      <c r="C26" s="17">
        <v>10</v>
      </c>
      <c r="F26" s="98"/>
      <c r="G26" s="98"/>
    </row>
    <row r="27" spans="1:17" x14ac:dyDescent="0.35">
      <c r="A27" t="s">
        <v>188</v>
      </c>
      <c r="B27" s="90">
        <v>0.1394</v>
      </c>
      <c r="C27" s="90">
        <v>0.18890000000000001</v>
      </c>
      <c r="F27" s="99"/>
      <c r="G27" s="99"/>
    </row>
    <row r="28" spans="1:17" x14ac:dyDescent="0.35">
      <c r="A28" t="s">
        <v>189</v>
      </c>
      <c r="B28" s="26">
        <v>2.4908999999999999</v>
      </c>
      <c r="C28" s="26">
        <v>1.8250999999999997</v>
      </c>
      <c r="F28" s="100"/>
      <c r="G28" s="100"/>
    </row>
    <row r="29" spans="1:17" ht="16" x14ac:dyDescent="0.5">
      <c r="A29" s="20" t="s">
        <v>190</v>
      </c>
      <c r="B29" s="27">
        <v>0.69159999999999999</v>
      </c>
      <c r="C29" s="27">
        <v>0.32219999999999999</v>
      </c>
      <c r="E29" s="20"/>
      <c r="F29" s="101"/>
      <c r="G29" s="101"/>
    </row>
    <row r="30" spans="1:17" x14ac:dyDescent="0.35">
      <c r="A30" t="s">
        <v>191</v>
      </c>
      <c r="B30" s="28">
        <f>B28+B29</f>
        <v>3.1825000000000001</v>
      </c>
      <c r="C30" s="28">
        <f>C28+C29</f>
        <v>2.1472999999999995</v>
      </c>
      <c r="F30" s="100"/>
      <c r="G30" s="100"/>
    </row>
    <row r="31" spans="1:17" x14ac:dyDescent="0.35">
      <c r="A31" t="s">
        <v>192</v>
      </c>
      <c r="B31" s="26">
        <f>SUM(B27:B29)</f>
        <v>3.3219000000000003</v>
      </c>
      <c r="C31" s="26">
        <f>SUM(C27:C29)</f>
        <v>2.3361999999999998</v>
      </c>
      <c r="F31" s="102"/>
      <c r="G31" s="102"/>
    </row>
    <row r="32" spans="1:17" x14ac:dyDescent="0.35">
      <c r="A32" t="s">
        <v>160</v>
      </c>
      <c r="B32" s="86">
        <f>B27/B31</f>
        <v>4.1963936301514189E-2</v>
      </c>
      <c r="C32" s="86">
        <f>C27/C31</f>
        <v>8.0857803270267967E-2</v>
      </c>
      <c r="F32" s="39"/>
      <c r="G32" s="39"/>
    </row>
    <row r="34" spans="1:7" x14ac:dyDescent="0.35">
      <c r="A34" t="s">
        <v>193</v>
      </c>
    </row>
    <row r="35" spans="1:7" x14ac:dyDescent="0.35">
      <c r="A35" t="s">
        <v>162</v>
      </c>
      <c r="B35" s="64">
        <f>B27+(B27*Q21)</f>
        <v>0.32152610000000009</v>
      </c>
      <c r="C35" s="64">
        <f>C27+(C27*Q21)</f>
        <v>0.43569785000000016</v>
      </c>
      <c r="F35" s="64"/>
      <c r="G35" s="64"/>
    </row>
    <row r="36" spans="1:7" x14ac:dyDescent="0.35">
      <c r="A36" t="s">
        <v>191</v>
      </c>
      <c r="B36" s="64">
        <f>B30</f>
        <v>3.1825000000000001</v>
      </c>
      <c r="C36" s="64">
        <f>C30</f>
        <v>2.1472999999999995</v>
      </c>
      <c r="F36" s="64"/>
      <c r="G36" s="64"/>
    </row>
    <row r="37" spans="1:7" x14ac:dyDescent="0.35">
      <c r="A37" t="s">
        <v>194</v>
      </c>
      <c r="B37" s="64">
        <f>B35+B36</f>
        <v>3.5040261000000004</v>
      </c>
      <c r="C37" s="64">
        <f>C35+C36</f>
        <v>2.5829978499999999</v>
      </c>
      <c r="F37" s="64"/>
      <c r="G37" s="64"/>
    </row>
    <row r="38" spans="1:7" x14ac:dyDescent="0.35">
      <c r="A38" t="s">
        <v>164</v>
      </c>
      <c r="B38" s="86">
        <f>B35/B37</f>
        <v>9.1759048255947648E-2</v>
      </c>
      <c r="C38" s="86">
        <f>C35/C37</f>
        <v>0.1686791376926621</v>
      </c>
      <c r="F38" s="39"/>
      <c r="G38" s="3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C0A5-F102-446F-9823-233A1F4E8190}">
  <sheetPr>
    <tabColor theme="7" tint="-0.249977111117893"/>
  </sheetPr>
  <dimension ref="A1:Q38"/>
  <sheetViews>
    <sheetView workbookViewId="0">
      <selection activeCell="K14" sqref="K14:K19"/>
    </sheetView>
  </sheetViews>
  <sheetFormatPr defaultRowHeight="14.5" x14ac:dyDescent="0.35"/>
  <cols>
    <col min="1" max="1" width="39.453125" bestFit="1" customWidth="1"/>
    <col min="2" max="2" width="9.54296875" bestFit="1" customWidth="1"/>
    <col min="3" max="5" width="10.81640625" customWidth="1"/>
    <col min="6" max="6" width="12.453125" customWidth="1"/>
    <col min="7" max="13" width="10.81640625" customWidth="1"/>
    <col min="15" max="15" width="13.54296875" customWidth="1"/>
    <col min="16" max="16" width="10.7265625" bestFit="1" customWidth="1"/>
  </cols>
  <sheetData>
    <row r="1" spans="1:16" x14ac:dyDescent="0.35">
      <c r="A1" s="29" t="s">
        <v>208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6">
        <f>IF(SUMMARY!C3=Assumptions!B53,Assumptions!C34,(IF(SUMMARY!C3=Assumptions!B54,Assumptions!I34,(IF(SUMMARY!C3=Assumptions!B55,Assumptions!I49,(IF(SUMMARY!C3=Assumptions!B56,Assumptions!C41,(IF(SUMMARY!C3=Assumptions!B57,Assumptions!I41,0)))))))))</f>
        <v>27.5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IF(SUMMARY!C3=Assumptions!B53,Assumptions!C36,(IF(SUMMARY!C3=Assumptions!B54,Assumptions!I36,(IF(SUMMARY!C3=Assumptions!B55,Assumptions!I49,(IF(SUMMARY!C3=Assumptions!B56,Assumptions!C43,(IF(SUMMARY!C3=Assumptions!B57,Assumptions!I43,0)))))))))</f>
        <v>15.8</v>
      </c>
      <c r="C6" s="145"/>
      <c r="D6" s="145"/>
    </row>
    <row r="7" spans="1:16" x14ac:dyDescent="0.35">
      <c r="A7" s="145" t="s">
        <v>131</v>
      </c>
      <c r="B7" s="146">
        <f>SUMMARY!L5</f>
        <v>5.0000000000000001E-3</v>
      </c>
      <c r="C7" s="145"/>
      <c r="D7" s="145"/>
    </row>
    <row r="9" spans="1:16" x14ac:dyDescent="0.35">
      <c r="A9" t="s">
        <v>166</v>
      </c>
    </row>
    <row r="10" spans="1:16" x14ac:dyDescent="0.35">
      <c r="A10" t="s">
        <v>167</v>
      </c>
    </row>
    <row r="11" spans="1:16" x14ac:dyDescent="0.35">
      <c r="A11" t="s">
        <v>196</v>
      </c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Assumptions!$D$27*Assumptions!D2</f>
        <v>148.72</v>
      </c>
      <c r="C14" s="196">
        <f>VLOOKUP($B$4,'FPL Limits'!$J$3:$P$23,2,FALSE)</f>
        <v>10220</v>
      </c>
      <c r="D14" s="33">
        <f t="shared" ref="D14:D19" si="0">((($B$30*M14)+$B$26)*6+(($C$30*N14)+$C$26)*6)</f>
        <v>884.4082800000001</v>
      </c>
      <c r="E14" s="197">
        <f>D14/C14</f>
        <v>8.653701369863015E-2</v>
      </c>
      <c r="F14" s="10">
        <f t="shared" ref="F14:F19" si="1">$B$7</f>
        <v>5.0000000000000001E-3</v>
      </c>
      <c r="G14" s="198">
        <f>C14*F14</f>
        <v>51.1</v>
      </c>
      <c r="H14" s="198">
        <f>IF(D14-G14&lt;0,0,D14-G14)</f>
        <v>833.30828000000008</v>
      </c>
      <c r="I14" s="131">
        <f>MAX(ROUND(H14/D14,2),25%)</f>
        <v>0.94</v>
      </c>
      <c r="J14" s="198">
        <f>D14-(D14*I14)</f>
        <v>53.064496800000029</v>
      </c>
      <c r="K14" s="12">
        <f>J14/C14</f>
        <v>5.1922208219178107E-3</v>
      </c>
      <c r="L14" s="13">
        <f>$B$4</f>
        <v>2</v>
      </c>
      <c r="M14" s="13">
        <f>$B$5</f>
        <v>27.5</v>
      </c>
      <c r="N14" s="13">
        <f>$B$6</f>
        <v>15.8</v>
      </c>
      <c r="O14" s="33">
        <f>B14*(D14-J14)</f>
        <v>123637.44743750402</v>
      </c>
      <c r="P14" s="33">
        <f>B14*D14*0.25</f>
        <v>32882.299850400006</v>
      </c>
    </row>
    <row r="15" spans="1:16" x14ac:dyDescent="0.35">
      <c r="A15" s="9" t="s">
        <v>5</v>
      </c>
      <c r="B15" s="9">
        <f>Assumptions!$D$27*Assumptions!D3</f>
        <v>67.495999999999995</v>
      </c>
      <c r="C15" s="196">
        <f>VLOOKUP($B$4,'FPL Limits'!$J$3:$P$23,3,FALSE)</f>
        <v>22995</v>
      </c>
      <c r="D15" s="33">
        <f t="shared" si="0"/>
        <v>884.4082800000001</v>
      </c>
      <c r="E15" s="197">
        <f t="shared" ref="E15:E19" si="2">D15/C15</f>
        <v>3.8460894977168952E-2</v>
      </c>
      <c r="F15" s="10">
        <f t="shared" si="1"/>
        <v>5.0000000000000001E-3</v>
      </c>
      <c r="G15" s="198">
        <f t="shared" ref="G15:G19" si="3">C15*F15</f>
        <v>114.97500000000001</v>
      </c>
      <c r="H15" s="198">
        <f t="shared" ref="H15:H19" si="4">IF(D15-G15&lt;0,0,D15-G15)</f>
        <v>769.43328000000008</v>
      </c>
      <c r="I15" s="131">
        <f>AVERAGE(I14,I19)</f>
        <v>0.59499999999999997</v>
      </c>
      <c r="J15" s="198">
        <f t="shared" ref="J15:J19" si="5">D15-(D15*I15)</f>
        <v>358.18535340000005</v>
      </c>
      <c r="K15" s="12">
        <f t="shared" ref="K15:K19" si="6">J15/C15</f>
        <v>1.5576662465753427E-2</v>
      </c>
      <c r="L15" s="13">
        <f t="shared" ref="L15:L19" si="7">$B$4</f>
        <v>2</v>
      </c>
      <c r="M15" s="13">
        <f t="shared" ref="M15:M19" si="8">$B$5</f>
        <v>27.5</v>
      </c>
      <c r="N15" s="13">
        <f t="shared" ref="N15:N19" si="9">$B$6</f>
        <v>15.8</v>
      </c>
      <c r="O15" s="33">
        <f t="shared" ref="O15:O19" si="10">B15*(D15-J15)</f>
        <v>35517.942653793601</v>
      </c>
      <c r="P15" s="33">
        <f t="shared" ref="P15:P19" si="11">B15*D15*0.25</f>
        <v>14923.50531672</v>
      </c>
    </row>
    <row r="16" spans="1:16" x14ac:dyDescent="0.35">
      <c r="A16" s="9" t="s">
        <v>6</v>
      </c>
      <c r="B16" s="9">
        <f>Assumptions!$D$27*Assumptions!D4</f>
        <v>66.924000000000007</v>
      </c>
      <c r="C16" s="196">
        <f>VLOOKUP($B$4,'FPL Limits'!$J$3:$P$23,4,FALSE)</f>
        <v>28105</v>
      </c>
      <c r="D16" s="33">
        <f t="shared" si="0"/>
        <v>884.4082800000001</v>
      </c>
      <c r="E16" s="197">
        <f t="shared" si="2"/>
        <v>3.1468004981320054E-2</v>
      </c>
      <c r="F16" s="10">
        <f t="shared" si="1"/>
        <v>5.0000000000000001E-3</v>
      </c>
      <c r="G16" s="198">
        <f t="shared" si="3"/>
        <v>140.52500000000001</v>
      </c>
      <c r="H16" s="198">
        <f t="shared" si="4"/>
        <v>743.88328000000013</v>
      </c>
      <c r="I16" s="131">
        <f>I15</f>
        <v>0.59499999999999997</v>
      </c>
      <c r="J16" s="198">
        <f t="shared" si="5"/>
        <v>358.18535340000005</v>
      </c>
      <c r="K16" s="12">
        <f t="shared" si="6"/>
        <v>1.2744542017434623E-2</v>
      </c>
      <c r="L16" s="13">
        <f t="shared" si="7"/>
        <v>2</v>
      </c>
      <c r="M16" s="13">
        <f t="shared" si="8"/>
        <v>27.5</v>
      </c>
      <c r="N16" s="13">
        <f t="shared" si="9"/>
        <v>15.8</v>
      </c>
      <c r="O16" s="33">
        <f t="shared" si="10"/>
        <v>35216.943139778406</v>
      </c>
      <c r="P16" s="33">
        <f t="shared" si="11"/>
        <v>14797.034932680002</v>
      </c>
    </row>
    <row r="17" spans="1:17" x14ac:dyDescent="0.35">
      <c r="A17" s="9" t="s">
        <v>7</v>
      </c>
      <c r="B17" s="9">
        <f>Assumptions!$D$27*Assumptions!D5</f>
        <v>65.78</v>
      </c>
      <c r="C17" s="196">
        <f>VLOOKUP($B$4,'FPL Limits'!$J$3:$P$23,5,FALSE)</f>
        <v>33215</v>
      </c>
      <c r="D17" s="33">
        <f t="shared" si="0"/>
        <v>884.4082800000001</v>
      </c>
      <c r="E17" s="197">
        <f t="shared" si="2"/>
        <v>2.6626773445732353E-2</v>
      </c>
      <c r="F17" s="10">
        <f t="shared" si="1"/>
        <v>5.0000000000000001E-3</v>
      </c>
      <c r="G17" s="198">
        <f t="shared" si="3"/>
        <v>166.07500000000002</v>
      </c>
      <c r="H17" s="198">
        <f t="shared" si="4"/>
        <v>718.33328000000006</v>
      </c>
      <c r="I17" s="131">
        <f>I15</f>
        <v>0.59499999999999997</v>
      </c>
      <c r="J17" s="198">
        <f t="shared" si="5"/>
        <v>358.18535340000005</v>
      </c>
      <c r="K17" s="12">
        <f t="shared" si="6"/>
        <v>1.0783843245521603E-2</v>
      </c>
      <c r="L17" s="13">
        <f t="shared" si="7"/>
        <v>2</v>
      </c>
      <c r="M17" s="13">
        <f t="shared" si="8"/>
        <v>27.5</v>
      </c>
      <c r="N17" s="13">
        <f t="shared" si="9"/>
        <v>15.8</v>
      </c>
      <c r="O17" s="33">
        <f t="shared" si="10"/>
        <v>34614.944111748002</v>
      </c>
      <c r="P17" s="33">
        <f t="shared" si="11"/>
        <v>14544.094164600003</v>
      </c>
    </row>
    <row r="18" spans="1:17" x14ac:dyDescent="0.35">
      <c r="A18" s="9" t="s">
        <v>150</v>
      </c>
      <c r="B18" s="9">
        <f>Assumptions!$D$27*Assumptions!D6</f>
        <v>60.059999999999995</v>
      </c>
      <c r="C18" s="196">
        <f>VLOOKUP($B$4,'FPL Limits'!$J$3:$P$23,6,FALSE)</f>
        <v>38325</v>
      </c>
      <c r="D18" s="33">
        <f t="shared" si="0"/>
        <v>884.4082800000001</v>
      </c>
      <c r="E18" s="197">
        <f t="shared" si="2"/>
        <v>2.3076536986301372E-2</v>
      </c>
      <c r="F18" s="10">
        <f t="shared" si="1"/>
        <v>5.0000000000000001E-3</v>
      </c>
      <c r="G18" s="198">
        <f t="shared" si="3"/>
        <v>191.625</v>
      </c>
      <c r="H18" s="198">
        <f t="shared" si="4"/>
        <v>692.7832800000001</v>
      </c>
      <c r="I18" s="131">
        <f>I15</f>
        <v>0.59499999999999997</v>
      </c>
      <c r="J18" s="198">
        <f t="shared" si="5"/>
        <v>358.18535340000005</v>
      </c>
      <c r="K18" s="12">
        <f t="shared" si="6"/>
        <v>9.3459974794520562E-3</v>
      </c>
      <c r="L18" s="13">
        <f t="shared" si="7"/>
        <v>2</v>
      </c>
      <c r="M18" s="13">
        <f t="shared" si="8"/>
        <v>27.5</v>
      </c>
      <c r="N18" s="13">
        <f t="shared" si="9"/>
        <v>15.8</v>
      </c>
      <c r="O18" s="33">
        <f t="shared" si="10"/>
        <v>31604.948971596001</v>
      </c>
      <c r="P18" s="33">
        <f t="shared" si="11"/>
        <v>13279.3903242</v>
      </c>
    </row>
    <row r="19" spans="1:17" x14ac:dyDescent="0.35">
      <c r="A19" s="9" t="s">
        <v>9</v>
      </c>
      <c r="B19" s="9">
        <f>Assumptions!$D$27*Assumptions!D7</f>
        <v>163.01999999999998</v>
      </c>
      <c r="C19" s="196">
        <f>VLOOKUP($B$4,'FPL Limits'!$J$3:$P$23,7,FALSE)</f>
        <v>52606.5</v>
      </c>
      <c r="D19" s="33">
        <f t="shared" si="0"/>
        <v>884.4082800000001</v>
      </c>
      <c r="E19" s="197">
        <f t="shared" si="2"/>
        <v>1.6811768127512762E-2</v>
      </c>
      <c r="F19" s="10">
        <f t="shared" si="1"/>
        <v>5.0000000000000001E-3</v>
      </c>
      <c r="G19" s="198">
        <f t="shared" si="3"/>
        <v>263.03250000000003</v>
      </c>
      <c r="H19" s="198">
        <f t="shared" si="4"/>
        <v>621.37578000000008</v>
      </c>
      <c r="I19" s="131">
        <v>0.25</v>
      </c>
      <c r="J19" s="198">
        <f t="shared" si="5"/>
        <v>663.30621000000008</v>
      </c>
      <c r="K19" s="12">
        <f t="shared" si="6"/>
        <v>1.2608826095634572E-2</v>
      </c>
      <c r="L19" s="13">
        <f t="shared" si="7"/>
        <v>2</v>
      </c>
      <c r="M19" s="13">
        <f t="shared" si="8"/>
        <v>27.5</v>
      </c>
      <c r="N19" s="140">
        <f t="shared" si="9"/>
        <v>15.8</v>
      </c>
      <c r="O19" s="141">
        <f t="shared" si="10"/>
        <v>36044.059451399997</v>
      </c>
      <c r="P19" s="141">
        <f t="shared" si="11"/>
        <v>36044.059451399997</v>
      </c>
    </row>
    <row r="20" spans="1:17" x14ac:dyDescent="0.3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2" t="s">
        <v>151</v>
      </c>
      <c r="O20" s="139">
        <f>SUM(O14:O19)</f>
        <v>296636.28576582001</v>
      </c>
      <c r="P20" s="139">
        <f>SUM(P14:P19)</f>
        <v>126470.38404</v>
      </c>
    </row>
    <row r="21" spans="1:17" x14ac:dyDescent="0.35">
      <c r="O21" s="142" t="s">
        <v>169</v>
      </c>
      <c r="P21" s="139">
        <f>O20-P20</f>
        <v>170165.90172582</v>
      </c>
      <c r="Q21" s="143">
        <f>P21/P20</f>
        <v>1.3454999999999999</v>
      </c>
    </row>
    <row r="23" spans="1:17" x14ac:dyDescent="0.35">
      <c r="A23" s="7" t="s">
        <v>170</v>
      </c>
    </row>
    <row r="24" spans="1:17" x14ac:dyDescent="0.35">
      <c r="F24" s="1"/>
      <c r="G24" s="25"/>
      <c r="H24" s="25"/>
    </row>
    <row r="25" spans="1:17" x14ac:dyDescent="0.35">
      <c r="A25" s="1" t="s">
        <v>202</v>
      </c>
      <c r="B25" s="25">
        <v>45597</v>
      </c>
      <c r="C25" s="25">
        <v>45413</v>
      </c>
      <c r="G25" s="98"/>
      <c r="H25" s="98"/>
    </row>
    <row r="26" spans="1:17" x14ac:dyDescent="0.35">
      <c r="A26" t="s">
        <v>154</v>
      </c>
      <c r="B26" s="14">
        <v>12.5</v>
      </c>
      <c r="C26" s="14">
        <v>10</v>
      </c>
      <c r="G26" s="99"/>
      <c r="H26" s="99"/>
    </row>
    <row r="27" spans="1:17" x14ac:dyDescent="0.35">
      <c r="A27" t="s">
        <v>188</v>
      </c>
      <c r="B27" s="90">
        <v>0.1394</v>
      </c>
      <c r="C27" s="90">
        <v>0.18890000000000001</v>
      </c>
      <c r="G27" s="100"/>
      <c r="H27" s="100"/>
    </row>
    <row r="28" spans="1:17" ht="16" x14ac:dyDescent="0.5">
      <c r="A28" t="s">
        <v>189</v>
      </c>
      <c r="B28" s="26">
        <v>2.8083</v>
      </c>
      <c r="C28" s="26">
        <v>2.0692000000000004</v>
      </c>
      <c r="F28" s="20"/>
      <c r="G28" s="101"/>
      <c r="H28" s="101"/>
    </row>
    <row r="29" spans="1:17" ht="16" x14ac:dyDescent="0.5">
      <c r="A29" s="20" t="s">
        <v>190</v>
      </c>
      <c r="B29" s="27">
        <v>0.37269999999999998</v>
      </c>
      <c r="C29" s="27">
        <v>0.2994</v>
      </c>
      <c r="G29" s="100"/>
      <c r="H29" s="100"/>
    </row>
    <row r="30" spans="1:17" x14ac:dyDescent="0.35">
      <c r="A30" t="s">
        <v>191</v>
      </c>
      <c r="B30" s="28">
        <f>B28+B29</f>
        <v>3.181</v>
      </c>
      <c r="C30" s="28">
        <f>C28+C29</f>
        <v>2.3686000000000003</v>
      </c>
      <c r="G30" s="102"/>
      <c r="H30" s="102"/>
    </row>
    <row r="31" spans="1:17" x14ac:dyDescent="0.35">
      <c r="A31" t="s">
        <v>192</v>
      </c>
      <c r="B31" s="26">
        <f>SUM(B27:B29)</f>
        <v>3.3204000000000002</v>
      </c>
      <c r="C31" s="26">
        <f>SUM(C27:C29)</f>
        <v>2.5575000000000001</v>
      </c>
      <c r="G31" s="39"/>
      <c r="H31" s="39"/>
    </row>
    <row r="32" spans="1:17" x14ac:dyDescent="0.35">
      <c r="A32" t="s">
        <v>160</v>
      </c>
      <c r="B32" s="86">
        <f>B27/B31</f>
        <v>4.1982893627273817E-2</v>
      </c>
      <c r="C32" s="86">
        <f>C27/C31</f>
        <v>7.3861192570869996E-2</v>
      </c>
    </row>
    <row r="34" spans="1:8" x14ac:dyDescent="0.35">
      <c r="A34" t="s">
        <v>193</v>
      </c>
      <c r="G34" s="64"/>
      <c r="H34" s="64"/>
    </row>
    <row r="35" spans="1:8" x14ac:dyDescent="0.35">
      <c r="A35" t="s">
        <v>162</v>
      </c>
      <c r="B35" s="64">
        <f>B27+(B27*Q21)</f>
        <v>0.32696269999999994</v>
      </c>
      <c r="C35" s="64">
        <f>C27+(C27*Q21)</f>
        <v>0.44306495000000001</v>
      </c>
      <c r="G35" s="64"/>
      <c r="H35" s="64"/>
    </row>
    <row r="36" spans="1:8" x14ac:dyDescent="0.35">
      <c r="A36" t="s">
        <v>191</v>
      </c>
      <c r="B36" s="64">
        <f>B30</f>
        <v>3.181</v>
      </c>
      <c r="C36" s="64">
        <f>C30</f>
        <v>2.3686000000000003</v>
      </c>
      <c r="G36" s="64"/>
      <c r="H36" s="64"/>
    </row>
    <row r="37" spans="1:8" x14ac:dyDescent="0.35">
      <c r="A37" t="s">
        <v>194</v>
      </c>
      <c r="B37" s="64">
        <f>B35+B36</f>
        <v>3.5079627000000002</v>
      </c>
      <c r="C37" s="64">
        <f>C35+C36</f>
        <v>2.8116649500000004</v>
      </c>
      <c r="G37" s="39"/>
      <c r="H37" s="39"/>
    </row>
    <row r="38" spans="1:8" x14ac:dyDescent="0.35">
      <c r="A38" t="s">
        <v>164</v>
      </c>
      <c r="B38" s="86">
        <f>B35/B37</f>
        <v>9.3205865615389794E-2</v>
      </c>
      <c r="C38" s="86">
        <f>C35/C37</f>
        <v>0.15758099129129877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1624-2A49-4B10-847F-F63ED9AD6C80}">
  <sheetPr>
    <tabColor theme="7" tint="0.79998168889431442"/>
  </sheetPr>
  <dimension ref="A1:Q38"/>
  <sheetViews>
    <sheetView workbookViewId="0">
      <selection activeCell="K14" sqref="K14:K19"/>
    </sheetView>
  </sheetViews>
  <sheetFormatPr defaultRowHeight="14.5" x14ac:dyDescent="0.35"/>
  <cols>
    <col min="1" max="1" width="39.453125" bestFit="1" customWidth="1"/>
    <col min="2" max="2" width="10.7265625" customWidth="1"/>
    <col min="3" max="4" width="10.81640625" customWidth="1"/>
    <col min="5" max="5" width="8.26953125" customWidth="1"/>
    <col min="6" max="13" width="10.81640625" customWidth="1"/>
    <col min="15" max="16" width="12.1796875" customWidth="1"/>
  </cols>
  <sheetData>
    <row r="1" spans="1:16" x14ac:dyDescent="0.35">
      <c r="A1" s="29" t="s">
        <v>209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8">
        <f>IF(SUMMARY!C3=Assumptions!B53,Assumptions!H35,(IF(SUMMARY!C3=Assumptions!B54,Assumptions!I35,(IF(SUMMARY!C3=Assumptions!B55,Assumptions!I47,(IF(SUMMARY!C3=Assumptions!B56,Assumptions!H42,(IF(SUMMARY!C3=Assumptions!B57,Assumptions!I42,0)))))))))</f>
        <v>107.5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IF(SUMMARY!C3=Assumptions!B53,Assumptions!H37,(IF(SUMMARY!C3=Assumptions!B54,Assumptions!I37,(IF(SUMMARY!C3=Assumptions!B55,Assumptions!I48,(IF(SUMMARY!C3=Assumptions!B56,Assumptions!H44,(IF(SUMMARY!C3=Assumptions!B57,Assumptions!I44,0)))))))))</f>
        <v>21.2</v>
      </c>
      <c r="C6" s="145"/>
      <c r="D6" s="145"/>
    </row>
    <row r="7" spans="1:16" x14ac:dyDescent="0.35">
      <c r="A7" s="145" t="s">
        <v>131</v>
      </c>
      <c r="B7" s="146">
        <f>SUMMARY!L4</f>
        <v>0.02</v>
      </c>
      <c r="C7" s="145"/>
      <c r="D7" s="145"/>
    </row>
    <row r="9" spans="1:16" x14ac:dyDescent="0.35">
      <c r="A9" t="s">
        <v>210</v>
      </c>
    </row>
    <row r="10" spans="1:16" x14ac:dyDescent="0.35">
      <c r="A10" t="s">
        <v>211</v>
      </c>
    </row>
    <row r="11" spans="1:16" x14ac:dyDescent="0.35">
      <c r="A11" t="s">
        <v>212</v>
      </c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Assumptions!$F$28*Assumptions!D2</f>
        <v>1971.8400000000001</v>
      </c>
      <c r="C14" s="196">
        <f>VLOOKUP($B$4,'FPL Limits'!$J$3:$P$23,2,FALSE)</f>
        <v>10220</v>
      </c>
      <c r="D14" s="33">
        <f t="shared" ref="D14:D19" si="0">((($B$30*M14)+$B$26)*6+(($C$30*N14)+$C$26)*6)</f>
        <v>1553.3378399999999</v>
      </c>
      <c r="E14" s="201">
        <f>D14/C14</f>
        <v>0.15199000391389431</v>
      </c>
      <c r="F14" s="201">
        <f t="shared" ref="F14:F19" si="1">$B$7</f>
        <v>0.02</v>
      </c>
      <c r="G14" s="198">
        <f>C14*F14</f>
        <v>204.4</v>
      </c>
      <c r="H14" s="198">
        <f>IF(D14-G14&lt;0,0,D14-G14)</f>
        <v>1348.9378399999998</v>
      </c>
      <c r="I14" s="131">
        <f>MAX(ROUND(H14/D14,2),25%)</f>
        <v>0.87</v>
      </c>
      <c r="J14" s="198">
        <f>D14-(D14*I14)</f>
        <v>201.93391919999999</v>
      </c>
      <c r="K14" s="12">
        <f>J14/C14</f>
        <v>1.9758700508806262E-2</v>
      </c>
      <c r="L14" s="13">
        <f>$B$4</f>
        <v>2</v>
      </c>
      <c r="M14" s="13">
        <f>$B$5</f>
        <v>107.5</v>
      </c>
      <c r="N14" s="13">
        <f>$B$6</f>
        <v>21.2</v>
      </c>
      <c r="O14" s="33">
        <f>B14*(D14-J14)</f>
        <v>2664752.307190272</v>
      </c>
      <c r="P14" s="33">
        <f>B14*D14*0.25</f>
        <v>765733.42160640005</v>
      </c>
    </row>
    <row r="15" spans="1:16" x14ac:dyDescent="0.35">
      <c r="A15" s="9" t="s">
        <v>5</v>
      </c>
      <c r="B15" s="9">
        <f>Assumptions!$F$28*Assumptions!D3</f>
        <v>894.91199999999992</v>
      </c>
      <c r="C15" s="196">
        <f>VLOOKUP($B$4,'FPL Limits'!$J$3:$P$23,3,FALSE)</f>
        <v>22995</v>
      </c>
      <c r="D15" s="33">
        <f t="shared" si="0"/>
        <v>1553.3378399999999</v>
      </c>
      <c r="E15" s="201">
        <f t="shared" ref="E15:E19" si="2">D15/C15</f>
        <v>6.7551112850619696E-2</v>
      </c>
      <c r="F15" s="201">
        <f t="shared" si="1"/>
        <v>0.02</v>
      </c>
      <c r="G15" s="198">
        <f t="shared" ref="G15:G19" si="3">C15*F15</f>
        <v>459.90000000000003</v>
      </c>
      <c r="H15" s="198">
        <f t="shared" ref="H15:H19" si="4">IF(D15-G15&lt;0,0,D15-G15)</f>
        <v>1093.4378399999998</v>
      </c>
      <c r="I15" s="131">
        <f>AVERAGE(I14,I19)</f>
        <v>0.56000000000000005</v>
      </c>
      <c r="J15" s="198">
        <f t="shared" ref="J15:J19" si="5">D15-(D15*I15)</f>
        <v>683.46864959999994</v>
      </c>
      <c r="K15" s="12">
        <f t="shared" ref="K15:K19" si="6">J15/C15</f>
        <v>2.9722489654272665E-2</v>
      </c>
      <c r="L15" s="13">
        <f t="shared" ref="L15:L19" si="7">$B$4</f>
        <v>2</v>
      </c>
      <c r="M15" s="13">
        <f t="shared" ref="M15:M19" si="8">$B$5</f>
        <v>107.5</v>
      </c>
      <c r="N15" s="13">
        <f t="shared" ref="N15:N19" si="9">$B$6</f>
        <v>21.2</v>
      </c>
      <c r="O15" s="33">
        <f t="shared" ref="O15:O19" si="10">B15*(D15-J15)</f>
        <v>778456.37691924477</v>
      </c>
      <c r="P15" s="33">
        <f t="shared" ref="P15:P19" si="11">B15*D15*0.25</f>
        <v>347525.16826751997</v>
      </c>
    </row>
    <row r="16" spans="1:16" x14ac:dyDescent="0.35">
      <c r="A16" s="9" t="s">
        <v>6</v>
      </c>
      <c r="B16" s="9">
        <f>Assumptions!$F$28*Assumptions!D4</f>
        <v>887.32800000000009</v>
      </c>
      <c r="C16" s="196">
        <f>VLOOKUP($B$4,'FPL Limits'!$J$3:$P$23,4,FALSE)</f>
        <v>28105</v>
      </c>
      <c r="D16" s="33">
        <f t="shared" si="0"/>
        <v>1553.3378399999999</v>
      </c>
      <c r="E16" s="201">
        <f t="shared" si="2"/>
        <v>5.5269092332325208E-2</v>
      </c>
      <c r="F16" s="201">
        <f t="shared" si="1"/>
        <v>0.02</v>
      </c>
      <c r="G16" s="198">
        <f t="shared" si="3"/>
        <v>562.1</v>
      </c>
      <c r="H16" s="198">
        <f t="shared" si="4"/>
        <v>991.23783999999989</v>
      </c>
      <c r="I16" s="131">
        <f>I15</f>
        <v>0.56000000000000005</v>
      </c>
      <c r="J16" s="198">
        <f t="shared" si="5"/>
        <v>683.46864959999994</v>
      </c>
      <c r="K16" s="12">
        <f t="shared" si="6"/>
        <v>2.4318400626223091E-2</v>
      </c>
      <c r="L16" s="13">
        <f t="shared" si="7"/>
        <v>2</v>
      </c>
      <c r="M16" s="13">
        <f t="shared" si="8"/>
        <v>107.5</v>
      </c>
      <c r="N16" s="13">
        <f t="shared" si="9"/>
        <v>21.2</v>
      </c>
      <c r="O16" s="33">
        <f t="shared" si="10"/>
        <v>771859.28897925129</v>
      </c>
      <c r="P16" s="33">
        <f t="shared" si="11"/>
        <v>344580.03972288</v>
      </c>
    </row>
    <row r="17" spans="1:17" x14ac:dyDescent="0.35">
      <c r="A17" s="9" t="s">
        <v>7</v>
      </c>
      <c r="B17" s="9">
        <f>Assumptions!$F$28*Assumptions!D5</f>
        <v>872.16000000000008</v>
      </c>
      <c r="C17" s="196">
        <f>VLOOKUP($B$4,'FPL Limits'!$J$3:$P$23,5,FALSE)</f>
        <v>33215</v>
      </c>
      <c r="D17" s="33">
        <f t="shared" si="0"/>
        <v>1553.3378399999999</v>
      </c>
      <c r="E17" s="201">
        <f t="shared" si="2"/>
        <v>4.6766155050429019E-2</v>
      </c>
      <c r="F17" s="201">
        <f t="shared" si="1"/>
        <v>0.02</v>
      </c>
      <c r="G17" s="198">
        <f t="shared" si="3"/>
        <v>664.30000000000007</v>
      </c>
      <c r="H17" s="198">
        <f t="shared" si="4"/>
        <v>889.03783999999985</v>
      </c>
      <c r="I17" s="131">
        <f>I15</f>
        <v>0.56000000000000005</v>
      </c>
      <c r="J17" s="198">
        <f t="shared" si="5"/>
        <v>683.46864959999994</v>
      </c>
      <c r="K17" s="12">
        <f t="shared" si="6"/>
        <v>2.0577108222188768E-2</v>
      </c>
      <c r="L17" s="13">
        <f t="shared" si="7"/>
        <v>2</v>
      </c>
      <c r="M17" s="13">
        <f t="shared" si="8"/>
        <v>107.5</v>
      </c>
      <c r="N17" s="13">
        <f t="shared" si="9"/>
        <v>21.2</v>
      </c>
      <c r="O17" s="33">
        <f t="shared" si="10"/>
        <v>758665.1130992641</v>
      </c>
      <c r="P17" s="33">
        <f t="shared" si="11"/>
        <v>338689.7826336</v>
      </c>
    </row>
    <row r="18" spans="1:17" x14ac:dyDescent="0.35">
      <c r="A18" s="9" t="s">
        <v>150</v>
      </c>
      <c r="B18" s="9">
        <f>Assumptions!$F$28*Assumptions!D6</f>
        <v>796.31999999999994</v>
      </c>
      <c r="C18" s="196">
        <f>VLOOKUP($B$4,'FPL Limits'!$J$3:$P$23,6,FALSE)</f>
        <v>38325</v>
      </c>
      <c r="D18" s="33">
        <f t="shared" si="0"/>
        <v>1553.3378399999999</v>
      </c>
      <c r="E18" s="201">
        <f t="shared" si="2"/>
        <v>4.0530667710371816E-2</v>
      </c>
      <c r="F18" s="201">
        <f t="shared" si="1"/>
        <v>0.02</v>
      </c>
      <c r="G18" s="198">
        <f t="shared" si="3"/>
        <v>766.5</v>
      </c>
      <c r="H18" s="198">
        <f t="shared" si="4"/>
        <v>786.83783999999991</v>
      </c>
      <c r="I18" s="131">
        <f>I15</f>
        <v>0.56000000000000005</v>
      </c>
      <c r="J18" s="198">
        <f t="shared" si="5"/>
        <v>683.46864959999994</v>
      </c>
      <c r="K18" s="12">
        <f t="shared" si="6"/>
        <v>1.78334937925636E-2</v>
      </c>
      <c r="L18" s="13">
        <f t="shared" si="7"/>
        <v>2</v>
      </c>
      <c r="M18" s="13">
        <f t="shared" si="8"/>
        <v>107.5</v>
      </c>
      <c r="N18" s="13">
        <f t="shared" si="9"/>
        <v>21.2</v>
      </c>
      <c r="O18" s="33">
        <f t="shared" si="10"/>
        <v>692694.23369932792</v>
      </c>
      <c r="P18" s="33">
        <f t="shared" si="11"/>
        <v>309238.49718719994</v>
      </c>
    </row>
    <row r="19" spans="1:17" x14ac:dyDescent="0.35">
      <c r="A19" s="9" t="s">
        <v>9</v>
      </c>
      <c r="B19" s="9">
        <f>Assumptions!$F$28*Assumptions!D7</f>
        <v>2161.4399999999996</v>
      </c>
      <c r="C19" s="196">
        <f>VLOOKUP($B$4,'FPL Limits'!$J$3:$P$23,7,FALSE)</f>
        <v>52606.5</v>
      </c>
      <c r="D19" s="33">
        <f t="shared" si="0"/>
        <v>1553.3378399999999</v>
      </c>
      <c r="E19" s="201">
        <f t="shared" si="2"/>
        <v>2.9527488808417209E-2</v>
      </c>
      <c r="F19" s="201">
        <f t="shared" si="1"/>
        <v>0.02</v>
      </c>
      <c r="G19" s="198">
        <f t="shared" si="3"/>
        <v>1052.1300000000001</v>
      </c>
      <c r="H19" s="198">
        <f t="shared" si="4"/>
        <v>501.20783999999981</v>
      </c>
      <c r="I19" s="131">
        <v>0.25</v>
      </c>
      <c r="J19" s="198">
        <f t="shared" si="5"/>
        <v>1165.0033799999999</v>
      </c>
      <c r="K19" s="12">
        <f t="shared" si="6"/>
        <v>2.2145616606312906E-2</v>
      </c>
      <c r="L19" s="13">
        <f t="shared" si="7"/>
        <v>2</v>
      </c>
      <c r="M19" s="13">
        <f t="shared" si="8"/>
        <v>107.5</v>
      </c>
      <c r="N19" s="140">
        <f t="shared" si="9"/>
        <v>21.2</v>
      </c>
      <c r="O19" s="141">
        <f t="shared" si="10"/>
        <v>839361.63522239996</v>
      </c>
      <c r="P19" s="141">
        <f t="shared" si="11"/>
        <v>839361.63522239984</v>
      </c>
    </row>
    <row r="20" spans="1:17" x14ac:dyDescent="0.3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2" t="s">
        <v>151</v>
      </c>
      <c r="O20" s="139">
        <f>SUM(O14:O19)</f>
        <v>6505788.9551097602</v>
      </c>
      <c r="P20" s="139">
        <f>SUM(P14:P19)</f>
        <v>2945128.54464</v>
      </c>
    </row>
    <row r="21" spans="1:17" x14ac:dyDescent="0.35">
      <c r="O21" s="142" t="s">
        <v>169</v>
      </c>
      <c r="P21" s="139">
        <f>O20-P20</f>
        <v>3560660.4104697602</v>
      </c>
      <c r="Q21" s="144">
        <f>P21/P20</f>
        <v>1.2090000000000001</v>
      </c>
    </row>
    <row r="23" spans="1:17" x14ac:dyDescent="0.35">
      <c r="A23" s="7" t="s">
        <v>213</v>
      </c>
    </row>
    <row r="25" spans="1:17" x14ac:dyDescent="0.35">
      <c r="A25" s="1" t="s">
        <v>187</v>
      </c>
      <c r="B25" s="25">
        <v>45597</v>
      </c>
      <c r="C25" s="25">
        <v>45413</v>
      </c>
      <c r="E25" s="1"/>
      <c r="F25" s="25"/>
      <c r="G25" s="25"/>
    </row>
    <row r="26" spans="1:17" x14ac:dyDescent="0.35">
      <c r="A26" t="s">
        <v>154</v>
      </c>
      <c r="B26" s="14">
        <v>11.8</v>
      </c>
      <c r="C26" s="14">
        <v>11.8</v>
      </c>
      <c r="F26" s="89"/>
      <c r="G26" s="89"/>
    </row>
    <row r="27" spans="1:17" x14ac:dyDescent="0.35">
      <c r="A27" t="s">
        <v>188</v>
      </c>
      <c r="B27" s="90">
        <v>5.2400000000000002E-2</v>
      </c>
      <c r="C27" s="90">
        <v>1.09E-2</v>
      </c>
      <c r="F27" s="90"/>
      <c r="G27" s="90"/>
    </row>
    <row r="28" spans="1:17" x14ac:dyDescent="0.35">
      <c r="A28" t="s">
        <v>189</v>
      </c>
      <c r="B28" s="26">
        <v>1.2646999999999999</v>
      </c>
      <c r="C28" s="26">
        <v>1.2435</v>
      </c>
      <c r="F28" s="91"/>
      <c r="G28" s="91"/>
    </row>
    <row r="29" spans="1:17" ht="16" x14ac:dyDescent="0.5">
      <c r="A29" s="20" t="s">
        <v>190</v>
      </c>
      <c r="B29" s="27">
        <v>0.62730000000000008</v>
      </c>
      <c r="C29" s="27">
        <v>0.26119999999999999</v>
      </c>
      <c r="E29" s="20"/>
      <c r="F29" s="92"/>
      <c r="G29" s="92"/>
    </row>
    <row r="30" spans="1:17" x14ac:dyDescent="0.35">
      <c r="A30" t="s">
        <v>191</v>
      </c>
      <c r="B30" s="28">
        <f>B28+B29</f>
        <v>1.8919999999999999</v>
      </c>
      <c r="C30" s="28">
        <f>C28+C29</f>
        <v>1.5047000000000001</v>
      </c>
      <c r="D30" s="91"/>
      <c r="F30" s="94"/>
      <c r="G30" s="94"/>
    </row>
    <row r="31" spans="1:17" x14ac:dyDescent="0.35">
      <c r="A31" t="s">
        <v>192</v>
      </c>
      <c r="B31" s="26">
        <f>SUM(B27:B29)</f>
        <v>1.9443999999999999</v>
      </c>
      <c r="C31" s="26">
        <f>SUM(C27:C29)</f>
        <v>1.5156000000000001</v>
      </c>
      <c r="F31" s="91"/>
      <c r="G31" s="91"/>
    </row>
    <row r="32" spans="1:17" x14ac:dyDescent="0.35">
      <c r="A32" t="s">
        <v>160</v>
      </c>
      <c r="B32" s="86">
        <f>B27/B31</f>
        <v>2.6949187409997945E-2</v>
      </c>
      <c r="C32" s="86">
        <f>C27/C31</f>
        <v>7.1918712061229875E-3</v>
      </c>
      <c r="F32" s="86"/>
      <c r="G32" s="86"/>
    </row>
    <row r="34" spans="1:7" x14ac:dyDescent="0.35">
      <c r="A34" t="s">
        <v>193</v>
      </c>
    </row>
    <row r="35" spans="1:7" x14ac:dyDescent="0.35">
      <c r="A35" t="s">
        <v>162</v>
      </c>
      <c r="B35" s="64">
        <f>B27+(B27*Q21)</f>
        <v>0.11575160000000001</v>
      </c>
      <c r="C35" s="64">
        <f>C27+(C27*Q21)</f>
        <v>2.4078100000000002E-2</v>
      </c>
      <c r="F35" s="64"/>
      <c r="G35" s="64"/>
    </row>
    <row r="36" spans="1:7" x14ac:dyDescent="0.35">
      <c r="A36" t="s">
        <v>191</v>
      </c>
      <c r="B36" s="64">
        <f>B30</f>
        <v>1.8919999999999999</v>
      </c>
      <c r="C36" s="64">
        <f>C30</f>
        <v>1.5047000000000001</v>
      </c>
      <c r="F36" s="64"/>
      <c r="G36" s="64"/>
    </row>
    <row r="37" spans="1:7" x14ac:dyDescent="0.35">
      <c r="A37" t="s">
        <v>194</v>
      </c>
      <c r="B37" s="64">
        <f>B35+B36</f>
        <v>2.0077515999999997</v>
      </c>
      <c r="C37" s="64">
        <f>C35+C36</f>
        <v>1.5287781000000003</v>
      </c>
      <c r="F37" s="64"/>
      <c r="G37" s="64"/>
    </row>
    <row r="38" spans="1:7" x14ac:dyDescent="0.35">
      <c r="A38" t="s">
        <v>164</v>
      </c>
      <c r="B38" s="86">
        <f>B35/B37</f>
        <v>5.7652351017924743E-2</v>
      </c>
      <c r="C38" s="86">
        <f>C35/C37</f>
        <v>1.57498985627803E-2</v>
      </c>
      <c r="F38" s="86"/>
      <c r="G38" s="8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A5C5-3A79-478D-816F-306C5EEBD7ED}">
  <sheetPr>
    <tabColor theme="7" tint="0.79998168889431442"/>
  </sheetPr>
  <dimension ref="A1:Q38"/>
  <sheetViews>
    <sheetView workbookViewId="0">
      <selection activeCell="G5" sqref="G5"/>
    </sheetView>
  </sheetViews>
  <sheetFormatPr defaultRowHeight="14.5" x14ac:dyDescent="0.35"/>
  <cols>
    <col min="1" max="1" width="39.453125" bestFit="1" customWidth="1"/>
    <col min="2" max="2" width="11.1796875" customWidth="1"/>
    <col min="3" max="4" width="10.81640625" customWidth="1"/>
    <col min="5" max="5" width="8.453125" customWidth="1"/>
    <col min="6" max="13" width="10.81640625" customWidth="1"/>
  </cols>
  <sheetData>
    <row r="1" spans="1:16" x14ac:dyDescent="0.35">
      <c r="A1" s="29" t="s">
        <v>214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6">
        <f>IF(SUMMARY!C3=Assumptions!B53,Assumptions!H34,(IF(SUMMARY!C3=Assumptions!B54,Assumptions!I34,(IF(SUMMARY!C3=Assumptions!B55,Assumptions!I49,(IF(SUMMARY!C3=Assumptions!B56,Assumptions!H41,(IF(SUMMARY!C3=Assumptions!B57,Assumptions!I41,0)))))))))</f>
        <v>20.2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IF(SUMMARY!C3=Assumptions!B53,Assumptions!H36,(IF(SUMMARY!C3=Assumptions!B54,Assumptions!I36,(IF(SUMMARY!C3=Assumptions!B55,Assumptions!I49,(IF(SUMMARY!C3=Assumptions!B56,Assumptions!H43,(IF(SUMMARY!C3=Assumptions!B57,Assumptions!I43,0)))))))))</f>
        <v>10.8</v>
      </c>
      <c r="C6" s="145"/>
      <c r="D6" s="145"/>
    </row>
    <row r="7" spans="1:16" x14ac:dyDescent="0.35">
      <c r="A7" s="145" t="s">
        <v>131</v>
      </c>
      <c r="B7" s="146">
        <f>SUMMARY!L5</f>
        <v>5.0000000000000001E-3</v>
      </c>
      <c r="C7" s="145"/>
      <c r="D7" s="145"/>
    </row>
    <row r="9" spans="1:16" x14ac:dyDescent="0.35">
      <c r="A9" t="s">
        <v>210</v>
      </c>
    </row>
    <row r="10" spans="1:16" x14ac:dyDescent="0.35">
      <c r="A10" t="s">
        <v>211</v>
      </c>
    </row>
    <row r="11" spans="1:16" x14ac:dyDescent="0.35">
      <c r="A11" t="s">
        <v>215</v>
      </c>
    </row>
    <row r="13" spans="1:16" ht="87" x14ac:dyDescent="0.35">
      <c r="A13" s="88" t="s">
        <v>135</v>
      </c>
      <c r="B13" s="88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Assumptions!$D$28*Assumptions!D2</f>
        <v>42.64</v>
      </c>
      <c r="C14" s="196">
        <f>VLOOKUP($B$4,'FPL Limits'!$J$3:$P$23,2,FALSE)</f>
        <v>10220</v>
      </c>
      <c r="D14" s="33">
        <f t="shared" ref="D14:D19" si="0">((($B$30*M14)+$B$26)*6+(($C$30*N14)+$C$26)*6)</f>
        <v>481.8180000000001</v>
      </c>
      <c r="E14" s="201">
        <f>D14/C14</f>
        <v>4.7144618395303338E-2</v>
      </c>
      <c r="F14" s="10">
        <f t="shared" ref="F14:F19" si="1">$B$7</f>
        <v>5.0000000000000001E-3</v>
      </c>
      <c r="G14" s="198">
        <f>C14*F14</f>
        <v>51.1</v>
      </c>
      <c r="H14" s="198">
        <f>IF(D14-G14&lt;0,0,D14-G14)</f>
        <v>430.71800000000007</v>
      </c>
      <c r="I14" s="131">
        <f>MAX(ROUND(H14/D14,2),25%)</f>
        <v>0.89</v>
      </c>
      <c r="J14" s="198">
        <f>D14-(D14*I14)</f>
        <v>52.999979999999994</v>
      </c>
      <c r="K14" s="12">
        <f>J14/C14</f>
        <v>5.1859080234833649E-3</v>
      </c>
      <c r="L14" s="13">
        <f>$B$4</f>
        <v>2</v>
      </c>
      <c r="M14" s="13">
        <f>$B$5</f>
        <v>20.2</v>
      </c>
      <c r="N14" s="13">
        <f>$B$6</f>
        <v>10.8</v>
      </c>
      <c r="O14" s="33">
        <f>B14*(D14-J14)</f>
        <v>18284.800372800004</v>
      </c>
      <c r="P14" s="33">
        <f>B14*D14*0.25</f>
        <v>5136.1798800000015</v>
      </c>
    </row>
    <row r="15" spans="1:16" x14ac:dyDescent="0.35">
      <c r="A15" s="9" t="s">
        <v>5</v>
      </c>
      <c r="B15" s="9">
        <f>Assumptions!$D$28*Assumptions!D3</f>
        <v>19.352</v>
      </c>
      <c r="C15" s="196">
        <f>VLOOKUP($B$4,'FPL Limits'!$J$3:$P$23,3,FALSE)</f>
        <v>22995</v>
      </c>
      <c r="D15" s="33">
        <f t="shared" si="0"/>
        <v>481.8180000000001</v>
      </c>
      <c r="E15" s="201">
        <f t="shared" ref="E15:E19" si="2">D15/C15</f>
        <v>2.0953163731245929E-2</v>
      </c>
      <c r="F15" s="10">
        <f t="shared" si="1"/>
        <v>5.0000000000000001E-3</v>
      </c>
      <c r="G15" s="198">
        <f t="shared" ref="G15:G19" si="3">C15*F15</f>
        <v>114.97500000000001</v>
      </c>
      <c r="H15" s="198">
        <f t="shared" ref="H15:H19" si="4">IF(D15-G15&lt;0,0,D15-G15)</f>
        <v>366.84300000000007</v>
      </c>
      <c r="I15" s="131">
        <f>AVERAGE(I14,I19)</f>
        <v>0.57000000000000006</v>
      </c>
      <c r="J15" s="198">
        <f t="shared" ref="J15:J19" si="5">D15-(D15*I15)</f>
        <v>207.18173999999999</v>
      </c>
      <c r="K15" s="12">
        <f t="shared" ref="K15:K19" si="6">J15/C15</f>
        <v>9.0098604044357468E-3</v>
      </c>
      <c r="L15" s="13">
        <f t="shared" ref="L15:L19" si="7">$B$4</f>
        <v>2</v>
      </c>
      <c r="M15" s="13">
        <f t="shared" ref="M15:M19" si="8">$B$5</f>
        <v>20.2</v>
      </c>
      <c r="N15" s="13">
        <f t="shared" ref="N15:N19" si="9">$B$6</f>
        <v>10.8</v>
      </c>
      <c r="O15" s="33">
        <f t="shared" ref="O15:O19" si="10">B15*(D15-J15)</f>
        <v>5314.7609035200021</v>
      </c>
      <c r="P15" s="33">
        <f t="shared" ref="P15:P19" si="11">B15*D15*0.25</f>
        <v>2331.0354840000005</v>
      </c>
    </row>
    <row r="16" spans="1:16" x14ac:dyDescent="0.35">
      <c r="A16" s="9" t="s">
        <v>6</v>
      </c>
      <c r="B16" s="9">
        <f>Assumptions!$D$28*Assumptions!D4</f>
        <v>19.188000000000002</v>
      </c>
      <c r="C16" s="196">
        <f>VLOOKUP($B$4,'FPL Limits'!$J$3:$P$23,4,FALSE)</f>
        <v>28105</v>
      </c>
      <c r="D16" s="33">
        <f t="shared" si="0"/>
        <v>481.8180000000001</v>
      </c>
      <c r="E16" s="201">
        <f t="shared" si="2"/>
        <v>1.7143497598292121E-2</v>
      </c>
      <c r="F16" s="10">
        <f t="shared" si="1"/>
        <v>5.0000000000000001E-3</v>
      </c>
      <c r="G16" s="198">
        <f t="shared" si="3"/>
        <v>140.52500000000001</v>
      </c>
      <c r="H16" s="198">
        <f t="shared" si="4"/>
        <v>341.29300000000012</v>
      </c>
      <c r="I16" s="131">
        <f>I15</f>
        <v>0.57000000000000006</v>
      </c>
      <c r="J16" s="198">
        <f t="shared" si="5"/>
        <v>207.18173999999999</v>
      </c>
      <c r="K16" s="12">
        <f t="shared" si="6"/>
        <v>7.3717039672656108E-3</v>
      </c>
      <c r="L16" s="13">
        <f t="shared" si="7"/>
        <v>2</v>
      </c>
      <c r="M16" s="13">
        <f t="shared" si="8"/>
        <v>20.2</v>
      </c>
      <c r="N16" s="13">
        <f t="shared" si="9"/>
        <v>10.8</v>
      </c>
      <c r="O16" s="33">
        <f t="shared" si="10"/>
        <v>5269.7205568800027</v>
      </c>
      <c r="P16" s="33">
        <f t="shared" si="11"/>
        <v>2311.2809460000008</v>
      </c>
    </row>
    <row r="17" spans="1:17" x14ac:dyDescent="0.35">
      <c r="A17" s="9" t="s">
        <v>7</v>
      </c>
      <c r="B17" s="9">
        <f>Assumptions!$D$28*Assumptions!D5</f>
        <v>18.86</v>
      </c>
      <c r="C17" s="196">
        <f>VLOOKUP($B$4,'FPL Limits'!$J$3:$P$23,5,FALSE)</f>
        <v>33215</v>
      </c>
      <c r="D17" s="33">
        <f t="shared" si="0"/>
        <v>481.8180000000001</v>
      </c>
      <c r="E17" s="201">
        <f t="shared" si="2"/>
        <v>1.4506036429324104E-2</v>
      </c>
      <c r="F17" s="10">
        <f t="shared" si="1"/>
        <v>5.0000000000000001E-3</v>
      </c>
      <c r="G17" s="198">
        <f t="shared" si="3"/>
        <v>166.07500000000002</v>
      </c>
      <c r="H17" s="198">
        <f t="shared" si="4"/>
        <v>315.74300000000005</v>
      </c>
      <c r="I17" s="131">
        <f>I15</f>
        <v>0.57000000000000006</v>
      </c>
      <c r="J17" s="198">
        <f t="shared" si="5"/>
        <v>207.18173999999999</v>
      </c>
      <c r="K17" s="12">
        <f t="shared" si="6"/>
        <v>6.2375956646093626E-3</v>
      </c>
      <c r="L17" s="13">
        <f t="shared" si="7"/>
        <v>2</v>
      </c>
      <c r="M17" s="13">
        <f t="shared" si="8"/>
        <v>20.2</v>
      </c>
      <c r="N17" s="13">
        <f t="shared" si="9"/>
        <v>10.8</v>
      </c>
      <c r="O17" s="33">
        <f t="shared" si="10"/>
        <v>5179.6398636000022</v>
      </c>
      <c r="P17" s="33">
        <f t="shared" si="11"/>
        <v>2271.7718700000005</v>
      </c>
    </row>
    <row r="18" spans="1:17" x14ac:dyDescent="0.35">
      <c r="A18" s="9" t="s">
        <v>150</v>
      </c>
      <c r="B18" s="9">
        <f>Assumptions!$D$28*Assumptions!D6</f>
        <v>17.22</v>
      </c>
      <c r="C18" s="196">
        <f>VLOOKUP($B$4,'FPL Limits'!$J$3:$P$23,6,FALSE)</f>
        <v>38325</v>
      </c>
      <c r="D18" s="33">
        <f t="shared" si="0"/>
        <v>481.8180000000001</v>
      </c>
      <c r="E18" s="201">
        <f t="shared" si="2"/>
        <v>1.2571898238747556E-2</v>
      </c>
      <c r="F18" s="10">
        <f t="shared" si="1"/>
        <v>5.0000000000000001E-3</v>
      </c>
      <c r="G18" s="198">
        <f t="shared" si="3"/>
        <v>191.625</v>
      </c>
      <c r="H18" s="198">
        <f t="shared" si="4"/>
        <v>290.1930000000001</v>
      </c>
      <c r="I18" s="131">
        <f>I15</f>
        <v>0.57000000000000006</v>
      </c>
      <c r="J18" s="198">
        <f t="shared" si="5"/>
        <v>207.18173999999999</v>
      </c>
      <c r="K18" s="12">
        <f t="shared" si="6"/>
        <v>5.4059162426614476E-3</v>
      </c>
      <c r="L18" s="13">
        <f t="shared" si="7"/>
        <v>2</v>
      </c>
      <c r="M18" s="13">
        <f t="shared" si="8"/>
        <v>20.2</v>
      </c>
      <c r="N18" s="13">
        <f t="shared" si="9"/>
        <v>10.8</v>
      </c>
      <c r="O18" s="33">
        <f t="shared" si="10"/>
        <v>4729.2363972000012</v>
      </c>
      <c r="P18" s="33">
        <f t="shared" si="11"/>
        <v>2074.2264900000005</v>
      </c>
    </row>
    <row r="19" spans="1:17" x14ac:dyDescent="0.35">
      <c r="A19" s="9" t="s">
        <v>9</v>
      </c>
      <c r="B19" s="9">
        <f>Assumptions!$D$28*Assumptions!D7</f>
        <v>46.739999999999995</v>
      </c>
      <c r="C19" s="196">
        <f>VLOOKUP($B$4,'FPL Limits'!$J$3:$P$23,7,FALSE)</f>
        <v>52606.5</v>
      </c>
      <c r="D19" s="33">
        <f t="shared" si="0"/>
        <v>481.8180000000001</v>
      </c>
      <c r="E19" s="201">
        <f t="shared" si="2"/>
        <v>9.1589062188132658E-3</v>
      </c>
      <c r="F19" s="10">
        <f t="shared" si="1"/>
        <v>5.0000000000000001E-3</v>
      </c>
      <c r="G19" s="198">
        <f t="shared" si="3"/>
        <v>263.03250000000003</v>
      </c>
      <c r="H19" s="198">
        <f t="shared" si="4"/>
        <v>218.78550000000007</v>
      </c>
      <c r="I19" s="131">
        <v>0.25</v>
      </c>
      <c r="J19" s="198">
        <f t="shared" si="5"/>
        <v>361.36350000000004</v>
      </c>
      <c r="K19" s="12">
        <f t="shared" si="6"/>
        <v>6.8691796641099489E-3</v>
      </c>
      <c r="L19" s="13">
        <f t="shared" si="7"/>
        <v>2</v>
      </c>
      <c r="M19" s="13">
        <f t="shared" si="8"/>
        <v>20.2</v>
      </c>
      <c r="N19" s="140">
        <f t="shared" si="9"/>
        <v>10.8</v>
      </c>
      <c r="O19" s="141">
        <f t="shared" si="10"/>
        <v>5630.0433300000022</v>
      </c>
      <c r="P19" s="141">
        <f t="shared" si="11"/>
        <v>5630.0433300000004</v>
      </c>
    </row>
    <row r="20" spans="1:17" x14ac:dyDescent="0.3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2" t="s">
        <v>151</v>
      </c>
      <c r="O20" s="139">
        <f>SUM(O14:O19)</f>
        <v>44408.201424000014</v>
      </c>
      <c r="P20" s="139">
        <f>SUM(P14:P19)</f>
        <v>19754.538000000004</v>
      </c>
    </row>
    <row r="21" spans="1:17" x14ac:dyDescent="0.35">
      <c r="O21" s="142" t="s">
        <v>169</v>
      </c>
      <c r="P21" s="139">
        <f>O20-P20</f>
        <v>24653.663424000009</v>
      </c>
      <c r="Q21" s="143">
        <f>P21/P20</f>
        <v>1.2480000000000002</v>
      </c>
    </row>
    <row r="23" spans="1:17" x14ac:dyDescent="0.35">
      <c r="A23" s="7" t="s">
        <v>216</v>
      </c>
    </row>
    <row r="25" spans="1:17" x14ac:dyDescent="0.35">
      <c r="A25" s="1" t="s">
        <v>197</v>
      </c>
      <c r="B25" s="25">
        <v>45231</v>
      </c>
      <c r="C25" s="25">
        <v>45413</v>
      </c>
      <c r="E25" s="1"/>
      <c r="F25" s="25"/>
      <c r="G25" s="25"/>
    </row>
    <row r="26" spans="1:17" x14ac:dyDescent="0.35">
      <c r="A26" t="s">
        <v>154</v>
      </c>
      <c r="B26" s="17">
        <v>11.38</v>
      </c>
      <c r="C26" s="17">
        <v>11.38</v>
      </c>
      <c r="F26" s="36"/>
      <c r="G26" s="36"/>
    </row>
    <row r="27" spans="1:17" x14ac:dyDescent="0.35">
      <c r="A27" t="s">
        <v>188</v>
      </c>
      <c r="B27" s="90">
        <v>5.2400000000000002E-2</v>
      </c>
      <c r="C27" s="90">
        <v>1.09E-2</v>
      </c>
      <c r="F27" s="99"/>
      <c r="G27" s="99"/>
    </row>
    <row r="28" spans="1:17" x14ac:dyDescent="0.35">
      <c r="A28" t="s">
        <v>189</v>
      </c>
      <c r="B28" s="26">
        <v>1.3317000000000001</v>
      </c>
      <c r="C28" s="26">
        <v>1.4028</v>
      </c>
      <c r="F28" s="102"/>
      <c r="G28" s="102"/>
    </row>
    <row r="29" spans="1:17" ht="16" x14ac:dyDescent="0.5">
      <c r="A29" s="20" t="s">
        <v>190</v>
      </c>
      <c r="B29" s="27">
        <v>0.62730000000000008</v>
      </c>
      <c r="C29" s="27">
        <v>0.26119999999999999</v>
      </c>
      <c r="E29" s="20"/>
      <c r="F29" s="101"/>
      <c r="G29" s="101"/>
    </row>
    <row r="30" spans="1:17" x14ac:dyDescent="0.35">
      <c r="A30" t="s">
        <v>191</v>
      </c>
      <c r="B30" s="28">
        <f>B28+B29</f>
        <v>1.9590000000000001</v>
      </c>
      <c r="C30" s="28">
        <f>C28+C29</f>
        <v>1.6640000000000001</v>
      </c>
      <c r="F30" s="100"/>
      <c r="G30" s="100"/>
    </row>
    <row r="31" spans="1:17" x14ac:dyDescent="0.35">
      <c r="A31" t="s">
        <v>192</v>
      </c>
      <c r="B31" s="91">
        <f>SUM(B27:B29)</f>
        <v>2.0114000000000001</v>
      </c>
      <c r="C31" s="91">
        <f>SUM(C27:C29)</f>
        <v>1.6749000000000001</v>
      </c>
      <c r="F31" s="102"/>
      <c r="G31" s="102"/>
    </row>
    <row r="32" spans="1:17" x14ac:dyDescent="0.35">
      <c r="A32" t="s">
        <v>160</v>
      </c>
      <c r="B32" s="86">
        <f>B27/B31</f>
        <v>2.6051506413443372E-2</v>
      </c>
      <c r="C32" s="86">
        <f>C27/C31</f>
        <v>6.5078512149979104E-3</v>
      </c>
      <c r="F32" s="39"/>
      <c r="G32" s="39"/>
    </row>
    <row r="34" spans="1:7" x14ac:dyDescent="0.35">
      <c r="A34" t="s">
        <v>193</v>
      </c>
    </row>
    <row r="35" spans="1:7" x14ac:dyDescent="0.35">
      <c r="A35" t="s">
        <v>162</v>
      </c>
      <c r="B35" s="64">
        <f>B27+(B27*Q21)</f>
        <v>0.11779520000000002</v>
      </c>
      <c r="C35" s="64">
        <f>C27+(C27*Q21)</f>
        <v>2.4503200000000003E-2</v>
      </c>
      <c r="F35" s="64"/>
      <c r="G35" s="64"/>
    </row>
    <row r="36" spans="1:7" x14ac:dyDescent="0.35">
      <c r="A36" t="s">
        <v>191</v>
      </c>
      <c r="B36" s="64">
        <f>B30</f>
        <v>1.9590000000000001</v>
      </c>
      <c r="C36" s="64">
        <f>C30</f>
        <v>1.6640000000000001</v>
      </c>
      <c r="F36" s="64"/>
      <c r="G36" s="64"/>
    </row>
    <row r="37" spans="1:7" x14ac:dyDescent="0.35">
      <c r="A37" t="s">
        <v>194</v>
      </c>
      <c r="B37" s="64">
        <f>B35+B36</f>
        <v>2.0767952000000003</v>
      </c>
      <c r="C37" s="64">
        <f>C35+C36</f>
        <v>1.6885032000000002</v>
      </c>
      <c r="F37" s="64"/>
      <c r="G37" s="64"/>
    </row>
    <row r="38" spans="1:7" x14ac:dyDescent="0.35">
      <c r="A38" t="s">
        <v>164</v>
      </c>
      <c r="B38" s="86">
        <f>B35/B37</f>
        <v>5.6719699660322788E-2</v>
      </c>
      <c r="C38" s="86">
        <f>C35/C37</f>
        <v>1.4511787718258395E-2</v>
      </c>
      <c r="F38" s="39"/>
      <c r="G38" s="3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7E2C-C8ED-47C0-A5ED-D8E7B6A2FD09}">
  <sheetPr>
    <tabColor theme="7" tint="-0.249977111117893"/>
  </sheetPr>
  <dimension ref="A1:Q39"/>
  <sheetViews>
    <sheetView workbookViewId="0">
      <selection activeCell="K14" sqref="K14:K19"/>
    </sheetView>
  </sheetViews>
  <sheetFormatPr defaultRowHeight="14.5" x14ac:dyDescent="0.35"/>
  <cols>
    <col min="1" max="1" width="39.453125" bestFit="1" customWidth="1"/>
    <col min="2" max="2" width="9.54296875" bestFit="1" customWidth="1"/>
    <col min="3" max="13" width="10.81640625" customWidth="1"/>
    <col min="15" max="15" width="13.54296875" customWidth="1"/>
    <col min="16" max="16" width="13.453125" customWidth="1"/>
  </cols>
  <sheetData>
    <row r="1" spans="1:16" x14ac:dyDescent="0.35">
      <c r="A1" s="29" t="s">
        <v>217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8">
        <f>IF(SUMMARY!C3=Assumptions!B53,Assumptions!D35,(IF(SUMMARY!C3=Assumptions!B54,Assumptions!I35,(IF(SUMMARY!C3=Assumptions!B55,Assumptions!I47,(IF(SUMMARY!C3=Assumptions!B56,Assumptions!D42,(IF(SUMMARY!C3=Assumptions!B57,Assumptions!I42,0)))))))))</f>
        <v>125.8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IF(SUMMARY!C3=Assumptions!B53,Assumptions!D37,(IF(SUMMARY!C3=Assumptions!B54,Assumptions!I37,(IF(SUMMARY!C3=Assumptions!B55,Assumptions!I48,(IF(SUMMARY!C3=Assumptions!B56,Assumptions!D44,(IF(SUMMARY!C3=Assumptions!B57,Assumptions!I44,0)))))))))</f>
        <v>29.2</v>
      </c>
      <c r="C6" s="145"/>
      <c r="D6" s="145"/>
    </row>
    <row r="7" spans="1:16" x14ac:dyDescent="0.35">
      <c r="A7" s="145" t="s">
        <v>131</v>
      </c>
      <c r="B7" s="146">
        <f>SUMMARY!L4</f>
        <v>0.02</v>
      </c>
      <c r="C7" s="145"/>
      <c r="D7" s="145"/>
    </row>
    <row r="9" spans="1:16" x14ac:dyDescent="0.35">
      <c r="A9" t="s">
        <v>218</v>
      </c>
    </row>
    <row r="10" spans="1:16" x14ac:dyDescent="0.35">
      <c r="A10" t="s">
        <v>219</v>
      </c>
    </row>
    <row r="11" spans="1:16" x14ac:dyDescent="0.35">
      <c r="A11" t="s">
        <v>220</v>
      </c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Assumptions!$F$25*Assumptions!D2</f>
        <v>10290.800000000001</v>
      </c>
      <c r="C14" s="196">
        <f>VLOOKUP($B$4,'FPL Limits'!$J$3:$P$23,2,FALSE)</f>
        <v>10220</v>
      </c>
      <c r="D14" s="33">
        <f t="shared" ref="D14:D19" si="0">((($B$30*M14)+$B$26)*6+(($C$30*N14)+$C$26)*6)</f>
        <v>2205.5030400000001</v>
      </c>
      <c r="E14" s="201">
        <f>D14/C14</f>
        <v>0.21580264579256361</v>
      </c>
      <c r="F14" s="201">
        <f t="shared" ref="F14:F19" si="1">$B$7</f>
        <v>0.02</v>
      </c>
      <c r="G14" s="198">
        <f>C14*F14</f>
        <v>204.4</v>
      </c>
      <c r="H14" s="198">
        <f>IF(D14-G14&lt;0,0,D14-G14)</f>
        <v>2001.10304</v>
      </c>
      <c r="I14" s="131">
        <f>MAX(ROUND(H14/D14,2),25%)</f>
        <v>0.91</v>
      </c>
      <c r="J14" s="198">
        <f>D14-(D14*I14)</f>
        <v>198.49527360000002</v>
      </c>
      <c r="K14" s="12">
        <f>J14/C14</f>
        <v>1.9422238121330725E-2</v>
      </c>
      <c r="L14" s="13">
        <f>$B$4</f>
        <v>2</v>
      </c>
      <c r="M14" s="13">
        <f>$B$5</f>
        <v>125.8</v>
      </c>
      <c r="N14" s="13">
        <f>$B$6</f>
        <v>29.2</v>
      </c>
      <c r="O14" s="33">
        <f>B14*(D14-J14)</f>
        <v>20653715.522469122</v>
      </c>
      <c r="P14" s="33">
        <f>B14*D14*0.25</f>
        <v>5674097.6710080011</v>
      </c>
    </row>
    <row r="15" spans="1:16" x14ac:dyDescent="0.35">
      <c r="A15" s="9" t="s">
        <v>5</v>
      </c>
      <c r="B15" s="9">
        <f>Assumptions!$F$25*Assumptions!D3</f>
        <v>4670.4399999999996</v>
      </c>
      <c r="C15" s="196">
        <f>VLOOKUP($B$4,'FPL Limits'!$J$3:$P$23,3,FALSE)</f>
        <v>22995</v>
      </c>
      <c r="D15" s="33">
        <f t="shared" si="0"/>
        <v>2205.5030400000001</v>
      </c>
      <c r="E15" s="201">
        <f t="shared" ref="E15:E19" si="2">D15/C15</f>
        <v>9.5912287018917158E-2</v>
      </c>
      <c r="F15" s="201">
        <f t="shared" si="1"/>
        <v>0.02</v>
      </c>
      <c r="G15" s="198">
        <f t="shared" ref="G15:G19" si="3">C15*F15</f>
        <v>459.90000000000003</v>
      </c>
      <c r="H15" s="198">
        <f t="shared" ref="H15:H19" si="4">IF(D15-G15&lt;0,0,D15-G15)</f>
        <v>1745.60304</v>
      </c>
      <c r="I15" s="131">
        <f>AVERAGE(I14,I19)</f>
        <v>0.58000000000000007</v>
      </c>
      <c r="J15" s="198">
        <f t="shared" ref="J15:J19" si="5">D15-(D15*I15)</f>
        <v>926.31127679999986</v>
      </c>
      <c r="K15" s="12">
        <f t="shared" ref="K15:K19" si="6">J15/C15</f>
        <v>4.0283160547945202E-2</v>
      </c>
      <c r="L15" s="13">
        <f t="shared" ref="L15:L19" si="7">$B$4</f>
        <v>2</v>
      </c>
      <c r="M15" s="13">
        <f t="shared" ref="M15:M19" si="8">$B$5</f>
        <v>125.8</v>
      </c>
      <c r="N15" s="13">
        <f t="shared" ref="N15:N19" si="9">$B$6</f>
        <v>29.2</v>
      </c>
      <c r="O15" s="33">
        <f t="shared" ref="O15:O19" si="10">B15*(D15-J15)</f>
        <v>5974388.3785198079</v>
      </c>
      <c r="P15" s="33">
        <f t="shared" ref="P15:P19" si="11">B15*D15*0.25</f>
        <v>2575167.4045344</v>
      </c>
    </row>
    <row r="16" spans="1:16" x14ac:dyDescent="0.35">
      <c r="A16" s="9" t="s">
        <v>6</v>
      </c>
      <c r="B16" s="9">
        <f>Assumptions!$F$25*Assumptions!D4</f>
        <v>4630.8600000000006</v>
      </c>
      <c r="C16" s="196">
        <f>VLOOKUP($B$4,'FPL Limits'!$J$3:$P$23,4,FALSE)</f>
        <v>28105</v>
      </c>
      <c r="D16" s="33">
        <f t="shared" si="0"/>
        <v>2205.5030400000001</v>
      </c>
      <c r="E16" s="201">
        <f t="shared" si="2"/>
        <v>7.8473689379114045E-2</v>
      </c>
      <c r="F16" s="201">
        <f t="shared" si="1"/>
        <v>0.02</v>
      </c>
      <c r="G16" s="198">
        <f t="shared" si="3"/>
        <v>562.1</v>
      </c>
      <c r="H16" s="198">
        <f t="shared" si="4"/>
        <v>1643.4030400000001</v>
      </c>
      <c r="I16" s="131">
        <f>I15</f>
        <v>0.58000000000000007</v>
      </c>
      <c r="J16" s="198">
        <f t="shared" si="5"/>
        <v>926.31127679999986</v>
      </c>
      <c r="K16" s="12">
        <f t="shared" si="6"/>
        <v>3.2958949539227893E-2</v>
      </c>
      <c r="L16" s="13">
        <f t="shared" si="7"/>
        <v>2</v>
      </c>
      <c r="M16" s="13">
        <f t="shared" si="8"/>
        <v>125.8</v>
      </c>
      <c r="N16" s="13">
        <f t="shared" si="9"/>
        <v>29.2</v>
      </c>
      <c r="O16" s="33">
        <f t="shared" si="10"/>
        <v>5923757.9685323536</v>
      </c>
      <c r="P16" s="33">
        <f t="shared" si="11"/>
        <v>2553343.9519536002</v>
      </c>
    </row>
    <row r="17" spans="1:17" x14ac:dyDescent="0.35">
      <c r="A17" s="9" t="s">
        <v>7</v>
      </c>
      <c r="B17" s="9">
        <f>Assumptions!$F$25*Assumptions!D5</f>
        <v>4551.7</v>
      </c>
      <c r="C17" s="196">
        <f>VLOOKUP($B$4,'FPL Limits'!$J$3:$P$23,5,FALSE)</f>
        <v>33215</v>
      </c>
      <c r="D17" s="33">
        <f t="shared" si="0"/>
        <v>2205.5030400000001</v>
      </c>
      <c r="E17" s="201">
        <f t="shared" si="2"/>
        <v>6.6400814090019578E-2</v>
      </c>
      <c r="F17" s="201">
        <f t="shared" si="1"/>
        <v>0.02</v>
      </c>
      <c r="G17" s="198">
        <f t="shared" si="3"/>
        <v>664.30000000000007</v>
      </c>
      <c r="H17" s="198">
        <f t="shared" si="4"/>
        <v>1541.2030399999999</v>
      </c>
      <c r="I17" s="131">
        <f>I15</f>
        <v>0.58000000000000007</v>
      </c>
      <c r="J17" s="198">
        <f t="shared" si="5"/>
        <v>926.31127679999986</v>
      </c>
      <c r="K17" s="12">
        <f t="shared" si="6"/>
        <v>2.7888341917808215E-2</v>
      </c>
      <c r="L17" s="13">
        <f t="shared" si="7"/>
        <v>2</v>
      </c>
      <c r="M17" s="13">
        <f t="shared" si="8"/>
        <v>125.8</v>
      </c>
      <c r="N17" s="13">
        <f t="shared" si="9"/>
        <v>29.2</v>
      </c>
      <c r="O17" s="33">
        <f t="shared" si="10"/>
        <v>5822497.1485574404</v>
      </c>
      <c r="P17" s="33">
        <f t="shared" si="11"/>
        <v>2509697.0467920001</v>
      </c>
    </row>
    <row r="18" spans="1:17" x14ac:dyDescent="0.35">
      <c r="A18" s="9" t="s">
        <v>150</v>
      </c>
      <c r="B18" s="9">
        <f>Assumptions!$F$25*Assumptions!D6</f>
        <v>4155.8999999999996</v>
      </c>
      <c r="C18" s="196">
        <f>VLOOKUP($B$4,'FPL Limits'!$J$3:$P$23,6,FALSE)</f>
        <v>38325</v>
      </c>
      <c r="D18" s="33">
        <f t="shared" si="0"/>
        <v>2205.5030400000001</v>
      </c>
      <c r="E18" s="201">
        <f t="shared" si="2"/>
        <v>5.7547372211350298E-2</v>
      </c>
      <c r="F18" s="201">
        <f t="shared" si="1"/>
        <v>0.02</v>
      </c>
      <c r="G18" s="198">
        <f t="shared" si="3"/>
        <v>766.5</v>
      </c>
      <c r="H18" s="198">
        <f t="shared" si="4"/>
        <v>1439.0030400000001</v>
      </c>
      <c r="I18" s="131">
        <f>I15</f>
        <v>0.58000000000000007</v>
      </c>
      <c r="J18" s="198">
        <f t="shared" si="5"/>
        <v>926.31127679999986</v>
      </c>
      <c r="K18" s="12">
        <f t="shared" si="6"/>
        <v>2.4169896328767121E-2</v>
      </c>
      <c r="L18" s="13">
        <f t="shared" si="7"/>
        <v>2</v>
      </c>
      <c r="M18" s="13">
        <f t="shared" si="8"/>
        <v>125.8</v>
      </c>
      <c r="N18" s="13">
        <f t="shared" si="9"/>
        <v>29.2</v>
      </c>
      <c r="O18" s="33">
        <f t="shared" si="10"/>
        <v>5316193.0486828806</v>
      </c>
      <c r="P18" s="33">
        <f t="shared" si="11"/>
        <v>2291462.5209840001</v>
      </c>
    </row>
    <row r="19" spans="1:17" x14ac:dyDescent="0.35">
      <c r="A19" s="9" t="s">
        <v>9</v>
      </c>
      <c r="B19" s="9">
        <f>Assumptions!$F$25*Assumptions!D7</f>
        <v>11280.3</v>
      </c>
      <c r="C19" s="196">
        <f>VLOOKUP($B$4,'FPL Limits'!$J$3:$P$23,7,FALSE)</f>
        <v>52606.5</v>
      </c>
      <c r="D19" s="33">
        <f t="shared" si="0"/>
        <v>2205.5030400000001</v>
      </c>
      <c r="E19" s="201">
        <f t="shared" si="2"/>
        <v>4.1924534800832601E-2</v>
      </c>
      <c r="F19" s="201">
        <f t="shared" si="1"/>
        <v>0.02</v>
      </c>
      <c r="G19" s="198">
        <f t="shared" si="3"/>
        <v>1052.1300000000001</v>
      </c>
      <c r="H19" s="198">
        <f t="shared" si="4"/>
        <v>1153.3730399999999</v>
      </c>
      <c r="I19" s="131">
        <v>0.25</v>
      </c>
      <c r="J19" s="198">
        <f t="shared" si="5"/>
        <v>1654.1272800000002</v>
      </c>
      <c r="K19" s="12">
        <f t="shared" si="6"/>
        <v>3.1443401100624449E-2</v>
      </c>
      <c r="L19" s="13">
        <f t="shared" si="7"/>
        <v>2</v>
      </c>
      <c r="M19" s="13">
        <f t="shared" si="8"/>
        <v>125.8</v>
      </c>
      <c r="N19" s="140">
        <f t="shared" si="9"/>
        <v>29.2</v>
      </c>
      <c r="O19" s="141">
        <f t="shared" si="10"/>
        <v>6219683.9855279988</v>
      </c>
      <c r="P19" s="141">
        <f t="shared" si="11"/>
        <v>6219683.9855279997</v>
      </c>
    </row>
    <row r="20" spans="1:17" x14ac:dyDescent="0.35">
      <c r="B20" s="12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2" t="s">
        <v>151</v>
      </c>
      <c r="O20" s="139">
        <f>SUM(O14:O19)</f>
        <v>49910236.052289605</v>
      </c>
      <c r="P20" s="139">
        <f>SUM(P14:P19)</f>
        <v>21823452.580800004</v>
      </c>
    </row>
    <row r="21" spans="1:17" x14ac:dyDescent="0.35">
      <c r="O21" s="142" t="s">
        <v>169</v>
      </c>
      <c r="P21" s="139">
        <f>O20-P20</f>
        <v>28086783.471489601</v>
      </c>
      <c r="Q21" s="143">
        <f>P21/P20</f>
        <v>1.2869999999999997</v>
      </c>
    </row>
    <row r="23" spans="1:17" x14ac:dyDescent="0.35">
      <c r="A23" s="31" t="s">
        <v>221</v>
      </c>
    </row>
    <row r="25" spans="1:17" x14ac:dyDescent="0.35">
      <c r="A25" s="1" t="s">
        <v>187</v>
      </c>
      <c r="B25" s="25">
        <v>45597</v>
      </c>
      <c r="C25" s="25">
        <v>45413</v>
      </c>
    </row>
    <row r="26" spans="1:17" x14ac:dyDescent="0.35">
      <c r="A26" t="s">
        <v>154</v>
      </c>
      <c r="B26" s="14">
        <v>12</v>
      </c>
      <c r="C26" s="14">
        <v>12</v>
      </c>
      <c r="E26" s="1"/>
      <c r="F26" s="25"/>
      <c r="G26" s="25"/>
    </row>
    <row r="27" spans="1:17" x14ac:dyDescent="0.35">
      <c r="A27" t="s">
        <v>188</v>
      </c>
      <c r="B27" s="90">
        <v>6.9900000000000004E-2</v>
      </c>
      <c r="C27" s="90">
        <v>4.6800000000000001E-2</v>
      </c>
      <c r="F27" s="36"/>
      <c r="G27" s="36"/>
    </row>
    <row r="28" spans="1:17" x14ac:dyDescent="0.35">
      <c r="A28" t="s">
        <v>189</v>
      </c>
      <c r="B28" s="26">
        <v>1.5781000000000001</v>
      </c>
      <c r="C28" s="26">
        <v>0.93840000000000001</v>
      </c>
      <c r="F28" s="98"/>
      <c r="G28" s="98"/>
    </row>
    <row r="29" spans="1:17" ht="16" x14ac:dyDescent="0.5">
      <c r="A29" s="20" t="s">
        <v>190</v>
      </c>
      <c r="B29" s="27">
        <v>0.84670000000000001</v>
      </c>
      <c r="C29" s="27">
        <v>0.38159999999999999</v>
      </c>
      <c r="F29" s="102"/>
      <c r="G29" s="102"/>
    </row>
    <row r="30" spans="1:17" ht="16" x14ac:dyDescent="0.5">
      <c r="A30" t="s">
        <v>191</v>
      </c>
      <c r="B30" s="28">
        <f>B28+B29</f>
        <v>2.4248000000000003</v>
      </c>
      <c r="C30" s="28">
        <f>C28+C29</f>
        <v>1.32</v>
      </c>
      <c r="E30" s="20"/>
      <c r="F30" s="101"/>
      <c r="G30" s="101"/>
    </row>
    <row r="31" spans="1:17" x14ac:dyDescent="0.35">
      <c r="A31" t="s">
        <v>192</v>
      </c>
      <c r="B31" s="26">
        <f>SUM(B27:B29)</f>
        <v>2.4946999999999999</v>
      </c>
      <c r="C31" s="26">
        <f>SUM(C27:C29)</f>
        <v>1.3668</v>
      </c>
      <c r="F31" s="100"/>
      <c r="G31" s="100"/>
    </row>
    <row r="32" spans="1:17" x14ac:dyDescent="0.35">
      <c r="A32" t="s">
        <v>160</v>
      </c>
      <c r="B32" s="86">
        <f>B27/B31</f>
        <v>2.8019401130396443E-2</v>
      </c>
      <c r="C32" s="86">
        <f>C27/C31</f>
        <v>3.4240561896400352E-2</v>
      </c>
      <c r="F32" s="102"/>
      <c r="G32" s="102"/>
    </row>
    <row r="33" spans="1:7" x14ac:dyDescent="0.35">
      <c r="F33" s="39"/>
      <c r="G33" s="39"/>
    </row>
    <row r="34" spans="1:7" x14ac:dyDescent="0.35">
      <c r="A34" t="s">
        <v>193</v>
      </c>
    </row>
    <row r="35" spans="1:7" x14ac:dyDescent="0.35">
      <c r="A35" t="s">
        <v>162</v>
      </c>
      <c r="B35" s="64">
        <f>B27+(B27*Q21)</f>
        <v>0.15986129999999998</v>
      </c>
      <c r="C35" s="64">
        <f>C27+(C27*Q21)</f>
        <v>0.10703159999999999</v>
      </c>
    </row>
    <row r="36" spans="1:7" x14ac:dyDescent="0.35">
      <c r="A36" t="s">
        <v>191</v>
      </c>
      <c r="B36" s="64">
        <f>B30</f>
        <v>2.4248000000000003</v>
      </c>
      <c r="C36" s="64">
        <f>C30</f>
        <v>1.32</v>
      </c>
      <c r="F36" s="64"/>
      <c r="G36" s="64"/>
    </row>
    <row r="37" spans="1:7" x14ac:dyDescent="0.35">
      <c r="A37" t="s">
        <v>194</v>
      </c>
      <c r="B37" s="64">
        <f>B35+B36</f>
        <v>2.5846613000000005</v>
      </c>
      <c r="C37" s="64">
        <f>C35+C36</f>
        <v>1.4270316000000001</v>
      </c>
      <c r="F37" s="64"/>
      <c r="G37" s="64"/>
    </row>
    <row r="38" spans="1:7" x14ac:dyDescent="0.35">
      <c r="A38" t="s">
        <v>164</v>
      </c>
      <c r="B38" s="86">
        <f>B35/B37</f>
        <v>6.1849999456408448E-2</v>
      </c>
      <c r="C38" s="86">
        <f>C35/C37</f>
        <v>7.500296419504654E-2</v>
      </c>
      <c r="F38" s="64"/>
      <c r="G38" s="64"/>
    </row>
    <row r="39" spans="1:7" x14ac:dyDescent="0.35">
      <c r="F39" s="39"/>
      <c r="G39" s="3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FD56-A28F-48A2-BBE5-1E1696B7ABB1}">
  <sheetPr>
    <tabColor theme="7" tint="-0.249977111117893"/>
  </sheetPr>
  <dimension ref="A1:Q38"/>
  <sheetViews>
    <sheetView workbookViewId="0">
      <selection activeCell="D8" sqref="D8"/>
    </sheetView>
  </sheetViews>
  <sheetFormatPr defaultRowHeight="14.5" x14ac:dyDescent="0.35"/>
  <cols>
    <col min="1" max="1" width="39.453125" bestFit="1" customWidth="1"/>
    <col min="2" max="2" width="9.54296875" bestFit="1" customWidth="1"/>
    <col min="3" max="13" width="10.81640625" customWidth="1"/>
    <col min="15" max="15" width="13.54296875" customWidth="1"/>
    <col min="16" max="16" width="10.26953125" bestFit="1" customWidth="1"/>
  </cols>
  <sheetData>
    <row r="1" spans="1:16" x14ac:dyDescent="0.35">
      <c r="A1" s="29" t="s">
        <v>222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7">
        <f>IF(SUMMARY!C3=Assumptions!B53,Assumptions!D34,(IF(SUMMARY!C3=Assumptions!B54,Assumptions!I34,(IF(SUMMARY!C3=Assumptions!B55,Assumptions!I49,(IF(SUMMARY!C3=Assumptions!B56,Assumptions!D41,(IF(SUMMARY!C3=Assumptions!B57,Assumptions!I41,0)))))))))</f>
        <v>19.2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IF(SUMMARY!C3=Assumptions!B53,Assumptions!D36,(IF(SUMMARY!C3=Assumptions!B54,Assumptions!I36,(IF(SUMMARY!C3=Assumptions!B55,Assumptions!I49,(IF(SUMMARY!C3=Assumptions!B56,Assumptions!D43,(IF(SUMMARY!C3=Assumptions!B57,Assumptions!I43,0)))))))))</f>
        <v>12.5</v>
      </c>
      <c r="C6" s="145"/>
      <c r="D6" s="145"/>
    </row>
    <row r="7" spans="1:16" x14ac:dyDescent="0.35">
      <c r="A7" s="145" t="s">
        <v>131</v>
      </c>
      <c r="B7" s="146">
        <f>SUMMARY!L5</f>
        <v>5.0000000000000001E-3</v>
      </c>
      <c r="C7" s="145"/>
      <c r="D7" s="145"/>
    </row>
    <row r="9" spans="1:16" x14ac:dyDescent="0.35">
      <c r="A9" t="s">
        <v>218</v>
      </c>
    </row>
    <row r="10" spans="1:16" x14ac:dyDescent="0.35">
      <c r="A10" t="s">
        <v>219</v>
      </c>
    </row>
    <row r="11" spans="1:16" x14ac:dyDescent="0.35">
      <c r="A11" t="s">
        <v>223</v>
      </c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Assumptions!$D$25*Assumptions!D2</f>
        <v>1022.3937827185448</v>
      </c>
      <c r="C14" s="199">
        <f>VLOOKUP($B$4,'FPL Limits'!$J$3:$P$23,2,FALSE)</f>
        <v>10220</v>
      </c>
      <c r="D14" s="198">
        <f t="shared" ref="D14:D19" si="0">((($B$30*M14)+$B$26)*6+(($C$30*N14)+$C$26)*6)</f>
        <v>609.03527999999994</v>
      </c>
      <c r="E14" s="201">
        <f>D14/C14</f>
        <v>5.9592493150684926E-2</v>
      </c>
      <c r="F14" s="10">
        <f t="shared" ref="F14:F19" si="1">$B$7</f>
        <v>5.0000000000000001E-3</v>
      </c>
      <c r="G14" s="198">
        <f>C14*F14</f>
        <v>51.1</v>
      </c>
      <c r="H14" s="198">
        <f>IF(D14-G14&lt;0,0,D14-G14)</f>
        <v>557.93527999999992</v>
      </c>
      <c r="I14" s="131">
        <f>MAX(ROUND(H14/D14,2),25%)</f>
        <v>0.92</v>
      </c>
      <c r="J14" s="198">
        <f>D14-(D14*I14)</f>
        <v>48.722822399999927</v>
      </c>
      <c r="K14" s="12">
        <f>J14/C14</f>
        <v>4.7673994520547871E-3</v>
      </c>
      <c r="L14" s="13">
        <f>$B$4</f>
        <v>2</v>
      </c>
      <c r="M14" s="13">
        <f>$B$5</f>
        <v>19.2</v>
      </c>
      <c r="N14" s="13">
        <f>$B$6</f>
        <v>12.5</v>
      </c>
      <c r="O14" s="33">
        <f>B14*(D14-J14)</f>
        <v>572859.97302998824</v>
      </c>
      <c r="P14" s="33">
        <f>B14*D14*0.25</f>
        <v>155668.47093206202</v>
      </c>
    </row>
    <row r="15" spans="1:16" x14ac:dyDescent="0.35">
      <c r="A15" s="9" t="s">
        <v>5</v>
      </c>
      <c r="B15" s="9">
        <f>Assumptions!$D$25*Assumptions!D3</f>
        <v>464.00948600303184</v>
      </c>
      <c r="C15" s="199">
        <f>VLOOKUP($B$4,'FPL Limits'!$J$3:$P$23,3,FALSE)</f>
        <v>22995</v>
      </c>
      <c r="D15" s="198">
        <f t="shared" si="0"/>
        <v>609.03527999999994</v>
      </c>
      <c r="E15" s="201">
        <f t="shared" ref="E15:E19" si="2">D15/C15</f>
        <v>2.6485552511415524E-2</v>
      </c>
      <c r="F15" s="10">
        <f t="shared" si="1"/>
        <v>5.0000000000000001E-3</v>
      </c>
      <c r="G15" s="198">
        <f t="shared" ref="G15:G19" si="3">C15*F15</f>
        <v>114.97500000000001</v>
      </c>
      <c r="H15" s="198">
        <f t="shared" ref="H15:H19" si="4">IF(D15-G15&lt;0,0,D15-G15)</f>
        <v>494.06027999999992</v>
      </c>
      <c r="I15" s="131">
        <f>AVERAGE(I14,I19)</f>
        <v>0.58499999999999996</v>
      </c>
      <c r="J15" s="198">
        <f t="shared" ref="J15:J19" si="5">D15-(D15*I15)</f>
        <v>252.74964119999999</v>
      </c>
      <c r="K15" s="12">
        <f t="shared" ref="K15:K19" si="6">J15/C15</f>
        <v>1.0991504292237442E-2</v>
      </c>
      <c r="L15" s="13">
        <f t="shared" ref="L15:L19" si="7">$B$4</f>
        <v>2</v>
      </c>
      <c r="M15" s="13">
        <f t="shared" ref="M15:M19" si="8">$B$5</f>
        <v>19.2</v>
      </c>
      <c r="N15" s="13">
        <f t="shared" ref="N15:N19" si="9">$B$6</f>
        <v>12.5</v>
      </c>
      <c r="O15" s="33">
        <f t="shared" ref="O15:O19" si="10">B15*(D15-J15)</f>
        <v>165319.91612984985</v>
      </c>
      <c r="P15" s="33">
        <f t="shared" ref="P15:P19" si="11">B15*D15*0.25</f>
        <v>70649.536807628145</v>
      </c>
    </row>
    <row r="16" spans="1:16" x14ac:dyDescent="0.35">
      <c r="A16" s="9" t="s">
        <v>6</v>
      </c>
      <c r="B16" s="9">
        <f>Assumptions!$D$25*Assumptions!D4</f>
        <v>460.07720222334518</v>
      </c>
      <c r="C16" s="199">
        <f>VLOOKUP($B$4,'FPL Limits'!$J$3:$P$23,4,FALSE)</f>
        <v>28105</v>
      </c>
      <c r="D16" s="198">
        <f t="shared" si="0"/>
        <v>609.03527999999994</v>
      </c>
      <c r="E16" s="201">
        <f t="shared" si="2"/>
        <v>2.1669997509339973E-2</v>
      </c>
      <c r="F16" s="10">
        <f t="shared" si="1"/>
        <v>5.0000000000000001E-3</v>
      </c>
      <c r="G16" s="198">
        <f t="shared" si="3"/>
        <v>140.52500000000001</v>
      </c>
      <c r="H16" s="198">
        <f t="shared" si="4"/>
        <v>468.51027999999997</v>
      </c>
      <c r="I16" s="131">
        <f>I15</f>
        <v>0.58499999999999996</v>
      </c>
      <c r="J16" s="198">
        <f t="shared" si="5"/>
        <v>252.74964119999999</v>
      </c>
      <c r="K16" s="12">
        <f t="shared" si="6"/>
        <v>8.9930489663760885E-3</v>
      </c>
      <c r="L16" s="13">
        <f t="shared" si="7"/>
        <v>2</v>
      </c>
      <c r="M16" s="13">
        <f t="shared" si="8"/>
        <v>19.2</v>
      </c>
      <c r="N16" s="13">
        <f t="shared" si="9"/>
        <v>12.5</v>
      </c>
      <c r="O16" s="33">
        <f t="shared" si="10"/>
        <v>163918.8998914613</v>
      </c>
      <c r="P16" s="33">
        <f t="shared" si="11"/>
        <v>70050.811919427913</v>
      </c>
    </row>
    <row r="17" spans="1:17" x14ac:dyDescent="0.35">
      <c r="A17" s="9" t="s">
        <v>7</v>
      </c>
      <c r="B17" s="9">
        <f>Assumptions!$D$25*Assumptions!D5</f>
        <v>452.21263466397176</v>
      </c>
      <c r="C17" s="199">
        <f>VLOOKUP($B$4,'FPL Limits'!$J$3:$P$23,5,FALSE)</f>
        <v>33215</v>
      </c>
      <c r="D17" s="198">
        <f t="shared" si="0"/>
        <v>609.03527999999994</v>
      </c>
      <c r="E17" s="201">
        <f t="shared" si="2"/>
        <v>1.8336151738672285E-2</v>
      </c>
      <c r="F17" s="10">
        <f t="shared" si="1"/>
        <v>5.0000000000000001E-3</v>
      </c>
      <c r="G17" s="198">
        <f t="shared" si="3"/>
        <v>166.07500000000002</v>
      </c>
      <c r="H17" s="198">
        <f t="shared" si="4"/>
        <v>442.9602799999999</v>
      </c>
      <c r="I17" s="131">
        <f>I15</f>
        <v>0.58499999999999996</v>
      </c>
      <c r="J17" s="198">
        <f t="shared" si="5"/>
        <v>252.74964119999999</v>
      </c>
      <c r="K17" s="12">
        <f t="shared" si="6"/>
        <v>7.6095029715489981E-3</v>
      </c>
      <c r="L17" s="13">
        <f t="shared" si="7"/>
        <v>2</v>
      </c>
      <c r="M17" s="13">
        <f t="shared" si="8"/>
        <v>19.2</v>
      </c>
      <c r="N17" s="13">
        <f t="shared" si="9"/>
        <v>12.5</v>
      </c>
      <c r="O17" s="33">
        <f t="shared" si="10"/>
        <v>161116.86741468418</v>
      </c>
      <c r="P17" s="33">
        <f t="shared" si="11"/>
        <v>68853.362143027436</v>
      </c>
    </row>
    <row r="18" spans="1:17" x14ac:dyDescent="0.35">
      <c r="A18" s="9" t="s">
        <v>150</v>
      </c>
      <c r="B18" s="9">
        <f>Assumptions!$D$25*Assumptions!D6</f>
        <v>412.88979686710462</v>
      </c>
      <c r="C18" s="199">
        <f>VLOOKUP($B$4,'FPL Limits'!$J$3:$P$23,6,FALSE)</f>
        <v>38325</v>
      </c>
      <c r="D18" s="198">
        <f t="shared" si="0"/>
        <v>609.03527999999994</v>
      </c>
      <c r="E18" s="201">
        <f t="shared" si="2"/>
        <v>1.5891331506849314E-2</v>
      </c>
      <c r="F18" s="10">
        <f t="shared" si="1"/>
        <v>5.0000000000000001E-3</v>
      </c>
      <c r="G18" s="198">
        <f t="shared" si="3"/>
        <v>191.625</v>
      </c>
      <c r="H18" s="198">
        <f t="shared" si="4"/>
        <v>417.41027999999994</v>
      </c>
      <c r="I18" s="131">
        <f>I15</f>
        <v>0.58499999999999996</v>
      </c>
      <c r="J18" s="198">
        <f t="shared" si="5"/>
        <v>252.74964119999999</v>
      </c>
      <c r="K18" s="12">
        <f t="shared" si="6"/>
        <v>6.5949025753424652E-3</v>
      </c>
      <c r="L18" s="13">
        <f t="shared" si="7"/>
        <v>2</v>
      </c>
      <c r="M18" s="13">
        <f t="shared" si="8"/>
        <v>19.2</v>
      </c>
      <c r="N18" s="13">
        <f t="shared" si="9"/>
        <v>12.5</v>
      </c>
      <c r="O18" s="33">
        <f t="shared" si="10"/>
        <v>147106.70503079859</v>
      </c>
      <c r="P18" s="33">
        <f t="shared" si="11"/>
        <v>62866.113261025042</v>
      </c>
    </row>
    <row r="19" spans="1:17" x14ac:dyDescent="0.35">
      <c r="A19" s="9" t="s">
        <v>9</v>
      </c>
      <c r="B19" s="9">
        <f>Assumptions!$D$25*Assumptions!D7</f>
        <v>1120.7008772107124</v>
      </c>
      <c r="C19" s="199">
        <f>VLOOKUP($B$4,'FPL Limits'!$J$3:$P$23,7,FALSE)</f>
        <v>52606.5</v>
      </c>
      <c r="D19" s="198">
        <f t="shared" si="0"/>
        <v>609.03527999999994</v>
      </c>
      <c r="E19" s="201">
        <f t="shared" si="2"/>
        <v>1.1577186849533802E-2</v>
      </c>
      <c r="F19" s="10">
        <f t="shared" si="1"/>
        <v>5.0000000000000001E-3</v>
      </c>
      <c r="G19" s="198">
        <f t="shared" si="3"/>
        <v>263.03250000000003</v>
      </c>
      <c r="H19" s="198">
        <f t="shared" si="4"/>
        <v>346.00277999999992</v>
      </c>
      <c r="I19" s="131">
        <v>0.25</v>
      </c>
      <c r="J19" s="198">
        <f t="shared" si="5"/>
        <v>456.77645999999993</v>
      </c>
      <c r="K19" s="12">
        <f t="shared" si="6"/>
        <v>8.6828901371503505E-3</v>
      </c>
      <c r="L19" s="13">
        <f t="shared" si="7"/>
        <v>2</v>
      </c>
      <c r="M19" s="13">
        <f t="shared" si="8"/>
        <v>19.2</v>
      </c>
      <c r="N19" s="140">
        <f t="shared" si="9"/>
        <v>12.5</v>
      </c>
      <c r="O19" s="141">
        <f t="shared" si="10"/>
        <v>170636.59313706798</v>
      </c>
      <c r="P19" s="141">
        <f t="shared" si="11"/>
        <v>170636.59313706795</v>
      </c>
    </row>
    <row r="20" spans="1:17" x14ac:dyDescent="0.35">
      <c r="B20" s="12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2" t="s">
        <v>151</v>
      </c>
      <c r="O20" s="139">
        <f>SUM(O14:O19)</f>
        <v>1380958.9546338504</v>
      </c>
      <c r="P20" s="139">
        <f>SUM(P14:P19)</f>
        <v>598724.88820023846</v>
      </c>
    </row>
    <row r="21" spans="1:17" x14ac:dyDescent="0.35">
      <c r="O21" s="142" t="s">
        <v>169</v>
      </c>
      <c r="P21" s="139">
        <f>O20-P20</f>
        <v>782234.06643361191</v>
      </c>
      <c r="Q21" s="143">
        <f>P21/P20</f>
        <v>1.3065000000000007</v>
      </c>
    </row>
    <row r="23" spans="1:17" x14ac:dyDescent="0.35">
      <c r="A23" s="31" t="s">
        <v>221</v>
      </c>
    </row>
    <row r="25" spans="1:17" x14ac:dyDescent="0.35">
      <c r="A25" s="1" t="s">
        <v>197</v>
      </c>
      <c r="B25" s="25">
        <v>45597</v>
      </c>
      <c r="C25" s="25">
        <v>45413</v>
      </c>
      <c r="E25" s="1"/>
      <c r="F25" s="25"/>
      <c r="G25" s="25"/>
    </row>
    <row r="26" spans="1:17" x14ac:dyDescent="0.35">
      <c r="A26" t="s">
        <v>154</v>
      </c>
      <c r="B26" s="14">
        <v>10</v>
      </c>
      <c r="C26" s="14">
        <v>10</v>
      </c>
      <c r="F26" s="36"/>
      <c r="G26" s="36"/>
    </row>
    <row r="27" spans="1:17" x14ac:dyDescent="0.35">
      <c r="A27" t="s">
        <v>188</v>
      </c>
      <c r="B27" s="90">
        <v>6.9900000000000004E-2</v>
      </c>
      <c r="C27" s="90">
        <v>4.6800000000000001E-2</v>
      </c>
      <c r="F27" s="98"/>
      <c r="G27" s="98"/>
    </row>
    <row r="28" spans="1:17" x14ac:dyDescent="0.35">
      <c r="A28" t="s">
        <v>189</v>
      </c>
      <c r="B28" s="26">
        <v>2.0996999999999999</v>
      </c>
      <c r="C28" s="26">
        <v>1.6132000000000002</v>
      </c>
      <c r="F28" s="102"/>
      <c r="G28" s="102"/>
    </row>
    <row r="29" spans="1:17" ht="16" x14ac:dyDescent="0.5">
      <c r="A29" s="20" t="s">
        <v>190</v>
      </c>
      <c r="B29" s="27">
        <v>0.84670000000000001</v>
      </c>
      <c r="C29" s="27">
        <v>0.38159999999999999</v>
      </c>
      <c r="E29" s="20"/>
      <c r="F29" s="101"/>
      <c r="G29" s="101"/>
    </row>
    <row r="30" spans="1:17" x14ac:dyDescent="0.35">
      <c r="A30" t="s">
        <v>191</v>
      </c>
      <c r="B30" s="28">
        <f>B28+B29</f>
        <v>2.9463999999999997</v>
      </c>
      <c r="C30" s="28">
        <f>C28+C29</f>
        <v>1.9948000000000001</v>
      </c>
      <c r="F30" s="100"/>
      <c r="G30" s="100"/>
    </row>
    <row r="31" spans="1:17" x14ac:dyDescent="0.35">
      <c r="A31" t="s">
        <v>192</v>
      </c>
      <c r="B31" s="26">
        <f>SUM(B27:B29)</f>
        <v>3.0163000000000002</v>
      </c>
      <c r="C31" s="26">
        <f>SUM(C27:C29)</f>
        <v>2.0416000000000003</v>
      </c>
      <c r="F31" s="102"/>
      <c r="G31" s="102"/>
    </row>
    <row r="32" spans="1:17" x14ac:dyDescent="0.35">
      <c r="A32" t="s">
        <v>160</v>
      </c>
      <c r="B32" s="86">
        <f>B27/B31</f>
        <v>2.3174087458144085E-2</v>
      </c>
      <c r="C32" s="86">
        <f>C27/C31</f>
        <v>2.2923197492163008E-2</v>
      </c>
      <c r="F32" s="39"/>
      <c r="G32" s="39"/>
    </row>
    <row r="34" spans="1:7" x14ac:dyDescent="0.35">
      <c r="A34" t="s">
        <v>193</v>
      </c>
    </row>
    <row r="35" spans="1:7" x14ac:dyDescent="0.35">
      <c r="A35" t="s">
        <v>162</v>
      </c>
      <c r="B35" s="64">
        <f>B27+(B27*Q21)</f>
        <v>0.16122435000000007</v>
      </c>
      <c r="C35" s="64">
        <f>C27+(C27*Q21)</f>
        <v>0.10794420000000003</v>
      </c>
      <c r="F35" s="64"/>
      <c r="G35" s="64"/>
    </row>
    <row r="36" spans="1:7" x14ac:dyDescent="0.35">
      <c r="A36" t="s">
        <v>191</v>
      </c>
      <c r="B36" s="64">
        <f>B30</f>
        <v>2.9463999999999997</v>
      </c>
      <c r="C36" s="64">
        <f>C30</f>
        <v>1.9948000000000001</v>
      </c>
      <c r="F36" s="64"/>
      <c r="G36" s="64"/>
    </row>
    <row r="37" spans="1:7" x14ac:dyDescent="0.35">
      <c r="A37" t="s">
        <v>194</v>
      </c>
      <c r="B37" s="64">
        <f>B35+B36</f>
        <v>3.1076243499999996</v>
      </c>
      <c r="C37" s="64">
        <f>C35+C36</f>
        <v>2.1027442000000001</v>
      </c>
      <c r="F37" s="64"/>
      <c r="G37" s="64"/>
    </row>
    <row r="38" spans="1:7" x14ac:dyDescent="0.35">
      <c r="A38" t="s">
        <v>164</v>
      </c>
      <c r="B38" s="86">
        <f>B35/B37</f>
        <v>5.1880257020125387E-2</v>
      </c>
      <c r="C38" s="86">
        <f>C35/C37</f>
        <v>5.1334917485445934E-2</v>
      </c>
      <c r="F38" s="39"/>
      <c r="G38" s="3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CB25-FAB0-41BD-8534-6A02492039A2}">
  <sheetPr>
    <tabColor theme="7" tint="-0.249977111117893"/>
  </sheetPr>
  <dimension ref="A1:Q38"/>
  <sheetViews>
    <sheetView workbookViewId="0">
      <selection activeCell="K14" sqref="K14:K19"/>
    </sheetView>
  </sheetViews>
  <sheetFormatPr defaultRowHeight="14.5" x14ac:dyDescent="0.35"/>
  <cols>
    <col min="1" max="1" width="39.453125" bestFit="1" customWidth="1"/>
    <col min="2" max="2" width="9.54296875" bestFit="1" customWidth="1"/>
    <col min="3" max="13" width="10.81640625" customWidth="1"/>
    <col min="15" max="15" width="13.81640625" customWidth="1"/>
    <col min="16" max="16" width="13.1796875" customWidth="1"/>
  </cols>
  <sheetData>
    <row r="1" spans="1:16" x14ac:dyDescent="0.35">
      <c r="A1" s="29" t="s">
        <v>224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8">
        <f>IF(SUMMARY!C3=Assumptions!B53,Assumptions!D35,(IF(SUMMARY!C3=Assumptions!B54,Assumptions!I35,(IF(SUMMARY!C3=Assumptions!B55,Assumptions!I47,(IF(SUMMARY!C3=Assumptions!B56,Assumptions!D42,(IF(SUMMARY!C3=Assumptions!B57,Assumptions!I42,0)))))))))</f>
        <v>125.8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IF(SUMMARY!C3=Assumptions!B53,Assumptions!D37,(IF(SUMMARY!C3=Assumptions!B54,Assumptions!I37,(IF(SUMMARY!C3=Assumptions!B55,Assumptions!I48,(IF(SUMMARY!C3=Assumptions!B56,Assumptions!D44,(IF(SUMMARY!C3=Assumptions!B57,Assumptions!I44,0)))))))))</f>
        <v>29.2</v>
      </c>
      <c r="C6" s="145"/>
      <c r="D6" s="145"/>
    </row>
    <row r="7" spans="1:16" x14ac:dyDescent="0.35">
      <c r="A7" s="145" t="s">
        <v>131</v>
      </c>
      <c r="B7" s="146">
        <f>SUMMARY!L4</f>
        <v>0.02</v>
      </c>
      <c r="C7" s="145"/>
      <c r="D7" s="145"/>
    </row>
    <row r="9" spans="1:16" x14ac:dyDescent="0.35">
      <c r="A9" t="s">
        <v>218</v>
      </c>
    </row>
    <row r="10" spans="1:16" x14ac:dyDescent="0.35">
      <c r="A10" t="s">
        <v>219</v>
      </c>
    </row>
    <row r="11" spans="1:16" x14ac:dyDescent="0.35">
      <c r="A11" t="s">
        <v>220</v>
      </c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Assumptions!$F$26*Assumptions!D2</f>
        <v>3375.84</v>
      </c>
      <c r="C14" s="196">
        <f>VLOOKUP($B$4,'FPL Limits'!$J$3:$P$23,2,FALSE)</f>
        <v>10220</v>
      </c>
      <c r="D14" s="33">
        <f t="shared" ref="D14:D19" si="0">((($B$30*M14)+$B$26)*6+(($C$30*N14)+$C$26)*6)</f>
        <v>2075.0007599999999</v>
      </c>
      <c r="E14" s="201">
        <f>D14/C14</f>
        <v>0.20303334246575341</v>
      </c>
      <c r="F14" s="201">
        <f t="shared" ref="F14:F19" si="1">$B$7</f>
        <v>0.02</v>
      </c>
      <c r="G14" s="198">
        <f>C14*F14</f>
        <v>204.4</v>
      </c>
      <c r="H14" s="198">
        <f>IF(D14-G14&lt;0,0,D14-G14)</f>
        <v>1870.6007599999998</v>
      </c>
      <c r="I14" s="131">
        <f>MAX(ROUND(H14/D14,2),25%)</f>
        <v>0.9</v>
      </c>
      <c r="J14" s="198">
        <f>D14-(D14*I14)</f>
        <v>207.50007600000004</v>
      </c>
      <c r="K14" s="12">
        <f>J14/C14</f>
        <v>2.0303334246575346E-2</v>
      </c>
      <c r="L14" s="13">
        <f>$B$4</f>
        <v>2</v>
      </c>
      <c r="M14" s="13">
        <f>$B$5</f>
        <v>125.8</v>
      </c>
      <c r="N14" s="13">
        <f>$B$6</f>
        <v>29.2</v>
      </c>
      <c r="O14" s="33">
        <f>B14*(D14-J14)</f>
        <v>6304383.5090745594</v>
      </c>
      <c r="P14" s="33">
        <f>B14*D14*0.25</f>
        <v>1751217.6414095999</v>
      </c>
    </row>
    <row r="15" spans="1:16" x14ac:dyDescent="0.35">
      <c r="A15" s="9" t="s">
        <v>5</v>
      </c>
      <c r="B15" s="9">
        <f>Assumptions!$F$26*Assumptions!D3</f>
        <v>1532.1119999999999</v>
      </c>
      <c r="C15" s="196">
        <f>VLOOKUP($B$4,'FPL Limits'!$J$3:$P$23,3,FALSE)</f>
        <v>22995</v>
      </c>
      <c r="D15" s="33">
        <f t="shared" si="0"/>
        <v>2075.0007599999999</v>
      </c>
      <c r="E15" s="201">
        <f t="shared" ref="E15:E19" si="2">D15/C15</f>
        <v>9.0237041095890411E-2</v>
      </c>
      <c r="F15" s="201">
        <f t="shared" si="1"/>
        <v>0.02</v>
      </c>
      <c r="G15" s="198">
        <f t="shared" ref="G15:G19" si="3">C15*F15</f>
        <v>459.90000000000003</v>
      </c>
      <c r="H15" s="198">
        <f t="shared" ref="H15:H19" si="4">IF(D15-G15&lt;0,0,D15-G15)</f>
        <v>1615.1007599999998</v>
      </c>
      <c r="I15" s="131">
        <f>AVERAGE(I14,I19)</f>
        <v>0.57499999999999996</v>
      </c>
      <c r="J15" s="198">
        <f t="shared" ref="J15:J19" si="5">D15-(D15*I15)</f>
        <v>881.87532299999998</v>
      </c>
      <c r="K15" s="12">
        <f t="shared" ref="K15:K19" si="6">J15/C15</f>
        <v>3.8350742465753422E-2</v>
      </c>
      <c r="L15" s="13">
        <f t="shared" ref="L15:L19" si="7">$B$4</f>
        <v>2</v>
      </c>
      <c r="M15" s="13">
        <f t="shared" ref="M15:M19" si="8">$B$5</f>
        <v>125.8</v>
      </c>
      <c r="N15" s="13">
        <f t="shared" ref="N15:N19" si="9">$B$6</f>
        <v>29.2</v>
      </c>
      <c r="O15" s="33">
        <f t="shared" ref="O15:O19" si="10">B15*(D15-J15)</f>
        <v>1828001.7995329436</v>
      </c>
      <c r="P15" s="33">
        <f t="shared" ref="P15:P19" si="11">B15*D15*0.25</f>
        <v>794783.39110127988</v>
      </c>
    </row>
    <row r="16" spans="1:16" x14ac:dyDescent="0.35">
      <c r="A16" s="9" t="s">
        <v>6</v>
      </c>
      <c r="B16" s="9">
        <f>Assumptions!$F$26*Assumptions!D4</f>
        <v>1519.1280000000002</v>
      </c>
      <c r="C16" s="196">
        <f>VLOOKUP($B$4,'FPL Limits'!$J$3:$P$23,4,FALSE)</f>
        <v>28105</v>
      </c>
      <c r="D16" s="33">
        <f t="shared" si="0"/>
        <v>2075.0007599999999</v>
      </c>
      <c r="E16" s="201">
        <f t="shared" si="2"/>
        <v>7.3830306351183053E-2</v>
      </c>
      <c r="F16" s="201">
        <f t="shared" si="1"/>
        <v>0.02</v>
      </c>
      <c r="G16" s="198">
        <f>C16*F16</f>
        <v>562.1</v>
      </c>
      <c r="H16" s="198">
        <f t="shared" si="4"/>
        <v>1512.90076</v>
      </c>
      <c r="I16" s="131">
        <f>I15</f>
        <v>0.57499999999999996</v>
      </c>
      <c r="J16" s="198">
        <f t="shared" si="5"/>
        <v>881.87532299999998</v>
      </c>
      <c r="K16" s="12">
        <f t="shared" si="6"/>
        <v>3.1377880199252799E-2</v>
      </c>
      <c r="L16" s="13">
        <f t="shared" si="7"/>
        <v>2</v>
      </c>
      <c r="M16" s="13">
        <f t="shared" si="8"/>
        <v>125.8</v>
      </c>
      <c r="N16" s="13">
        <f t="shared" si="9"/>
        <v>29.2</v>
      </c>
      <c r="O16" s="33">
        <f t="shared" si="10"/>
        <v>1812510.2588589361</v>
      </c>
      <c r="P16" s="33">
        <f t="shared" si="11"/>
        <v>788047.93863432005</v>
      </c>
    </row>
    <row r="17" spans="1:17" x14ac:dyDescent="0.35">
      <c r="A17" s="9" t="s">
        <v>7</v>
      </c>
      <c r="B17" s="9">
        <f>Assumptions!$F$26*Assumptions!D5</f>
        <v>1493.16</v>
      </c>
      <c r="C17" s="196">
        <f>VLOOKUP($B$4,'FPL Limits'!$J$3:$P$23,5,FALSE)</f>
        <v>33215</v>
      </c>
      <c r="D17" s="33">
        <f t="shared" si="0"/>
        <v>2075.0007599999999</v>
      </c>
      <c r="E17" s="201">
        <f t="shared" si="2"/>
        <v>6.2471797681770282E-2</v>
      </c>
      <c r="F17" s="201">
        <f t="shared" si="1"/>
        <v>0.02</v>
      </c>
      <c r="G17" s="198">
        <f t="shared" si="3"/>
        <v>664.30000000000007</v>
      </c>
      <c r="H17" s="198">
        <f t="shared" si="4"/>
        <v>1410.7007599999997</v>
      </c>
      <c r="I17" s="131">
        <f>I15</f>
        <v>0.57499999999999996</v>
      </c>
      <c r="J17" s="198">
        <f t="shared" si="5"/>
        <v>881.87532299999998</v>
      </c>
      <c r="K17" s="12">
        <f t="shared" si="6"/>
        <v>2.655051401475237E-2</v>
      </c>
      <c r="L17" s="13">
        <f t="shared" si="7"/>
        <v>2</v>
      </c>
      <c r="M17" s="13">
        <f t="shared" si="8"/>
        <v>125.8</v>
      </c>
      <c r="N17" s="13">
        <f t="shared" si="9"/>
        <v>29.2</v>
      </c>
      <c r="O17" s="33">
        <f t="shared" si="10"/>
        <v>1781527.17751092</v>
      </c>
      <c r="P17" s="33">
        <f t="shared" si="11"/>
        <v>774577.03370040003</v>
      </c>
    </row>
    <row r="18" spans="1:17" x14ac:dyDescent="0.35">
      <c r="A18" s="9" t="s">
        <v>150</v>
      </c>
      <c r="B18" s="9">
        <f>Assumptions!$F$26*Assumptions!D6</f>
        <v>1363.32</v>
      </c>
      <c r="C18" s="196">
        <f>VLOOKUP($B$4,'FPL Limits'!$J$3:$P$23,6,FALSE)</f>
        <v>38325</v>
      </c>
      <c r="D18" s="33">
        <f t="shared" si="0"/>
        <v>2075.0007599999999</v>
      </c>
      <c r="E18" s="201">
        <f t="shared" si="2"/>
        <v>5.4142224657534245E-2</v>
      </c>
      <c r="F18" s="201">
        <f t="shared" si="1"/>
        <v>0.02</v>
      </c>
      <c r="G18" s="198">
        <f t="shared" si="3"/>
        <v>766.5</v>
      </c>
      <c r="H18" s="198">
        <f t="shared" si="4"/>
        <v>1308.5007599999999</v>
      </c>
      <c r="I18" s="131">
        <f>I15</f>
        <v>0.57499999999999996</v>
      </c>
      <c r="J18" s="198">
        <f t="shared" si="5"/>
        <v>881.87532299999998</v>
      </c>
      <c r="K18" s="12">
        <f t="shared" si="6"/>
        <v>2.3010445479452055E-2</v>
      </c>
      <c r="L18" s="13">
        <f t="shared" si="7"/>
        <v>2</v>
      </c>
      <c r="M18" s="13">
        <f t="shared" si="8"/>
        <v>125.8</v>
      </c>
      <c r="N18" s="13">
        <f t="shared" si="9"/>
        <v>29.2</v>
      </c>
      <c r="O18" s="33">
        <f t="shared" si="10"/>
        <v>1626611.7707708399</v>
      </c>
      <c r="P18" s="33">
        <f t="shared" si="11"/>
        <v>707222.50903079996</v>
      </c>
    </row>
    <row r="19" spans="1:17" x14ac:dyDescent="0.35">
      <c r="A19" s="9" t="s">
        <v>9</v>
      </c>
      <c r="B19" s="9">
        <f>Assumptions!$F$26*Assumptions!D7</f>
        <v>3700.4399999999996</v>
      </c>
      <c r="C19" s="196">
        <f>VLOOKUP($B$4,'FPL Limits'!$J$3:$P$23,7,FALSE)</f>
        <v>52606.5</v>
      </c>
      <c r="D19" s="33">
        <f t="shared" si="0"/>
        <v>2075.0007599999999</v>
      </c>
      <c r="E19" s="201">
        <f t="shared" si="2"/>
        <v>3.9443809415186333E-2</v>
      </c>
      <c r="F19" s="201">
        <f t="shared" si="1"/>
        <v>0.02</v>
      </c>
      <c r="G19" s="198">
        <f t="shared" si="3"/>
        <v>1052.1300000000001</v>
      </c>
      <c r="H19" s="198">
        <f t="shared" si="4"/>
        <v>1022.8707599999998</v>
      </c>
      <c r="I19" s="131">
        <v>0.25</v>
      </c>
      <c r="J19" s="198">
        <f t="shared" si="5"/>
        <v>1556.2505699999999</v>
      </c>
      <c r="K19" s="12">
        <f t="shared" si="6"/>
        <v>2.9582857061389752E-2</v>
      </c>
      <c r="L19" s="13">
        <f t="shared" si="7"/>
        <v>2</v>
      </c>
      <c r="M19" s="13">
        <f t="shared" si="8"/>
        <v>125.8</v>
      </c>
      <c r="N19" s="140">
        <f t="shared" si="9"/>
        <v>29.2</v>
      </c>
      <c r="O19" s="141">
        <f t="shared" si="10"/>
        <v>1919603.9530835997</v>
      </c>
      <c r="P19" s="141">
        <f t="shared" si="11"/>
        <v>1919603.9530835997</v>
      </c>
    </row>
    <row r="20" spans="1:17" x14ac:dyDescent="0.35">
      <c r="B20" s="12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2" t="s">
        <v>151</v>
      </c>
      <c r="O20" s="139">
        <f>SUM(O14:O19)</f>
        <v>15272638.468831798</v>
      </c>
      <c r="P20" s="139">
        <f>SUM(P14:P19)</f>
        <v>6735452.4669599999</v>
      </c>
    </row>
    <row r="21" spans="1:17" x14ac:dyDescent="0.35">
      <c r="O21" s="142" t="s">
        <v>169</v>
      </c>
      <c r="P21" s="139">
        <f>O20-P20</f>
        <v>8537186.0018717982</v>
      </c>
      <c r="Q21" s="143">
        <f>P21/P20</f>
        <v>1.2674999999999998</v>
      </c>
    </row>
    <row r="23" spans="1:17" x14ac:dyDescent="0.35">
      <c r="A23" s="31" t="s">
        <v>225</v>
      </c>
    </row>
    <row r="25" spans="1:17" x14ac:dyDescent="0.35">
      <c r="A25" s="1" t="s">
        <v>187</v>
      </c>
      <c r="B25" s="25">
        <v>45597</v>
      </c>
      <c r="C25" s="25">
        <v>45413</v>
      </c>
      <c r="E25" s="1"/>
      <c r="F25" s="25"/>
      <c r="G25" s="25"/>
    </row>
    <row r="26" spans="1:17" x14ac:dyDescent="0.35">
      <c r="A26" t="s">
        <v>154</v>
      </c>
      <c r="B26" s="14">
        <v>12</v>
      </c>
      <c r="C26" s="14">
        <v>12</v>
      </c>
      <c r="F26" s="93"/>
      <c r="G26" s="93"/>
    </row>
    <row r="27" spans="1:17" x14ac:dyDescent="0.35">
      <c r="A27" t="s">
        <v>188</v>
      </c>
      <c r="B27" s="90">
        <v>6.9900000000000004E-2</v>
      </c>
      <c r="C27" s="90">
        <v>4.6800000000000001E-2</v>
      </c>
      <c r="F27" s="90"/>
      <c r="G27" s="90"/>
    </row>
    <row r="28" spans="1:17" x14ac:dyDescent="0.35">
      <c r="A28" t="s">
        <v>189</v>
      </c>
      <c r="B28" s="26">
        <v>1.4483999999999999</v>
      </c>
      <c r="C28" s="26">
        <v>0.75229999999999997</v>
      </c>
      <c r="F28" s="91"/>
      <c r="G28" s="91"/>
    </row>
    <row r="29" spans="1:17" ht="16" x14ac:dyDescent="0.5">
      <c r="A29" s="20" t="s">
        <v>190</v>
      </c>
      <c r="B29" s="27">
        <v>0.84670000000000001</v>
      </c>
      <c r="C29" s="27">
        <v>0.38159999999999999</v>
      </c>
      <c r="E29" s="20"/>
      <c r="F29" s="92"/>
      <c r="G29" s="92"/>
    </row>
    <row r="30" spans="1:17" x14ac:dyDescent="0.35">
      <c r="A30" t="s">
        <v>191</v>
      </c>
      <c r="B30" s="28">
        <f>B28+B29</f>
        <v>2.2950999999999997</v>
      </c>
      <c r="C30" s="28">
        <f>C28+C29</f>
        <v>1.1338999999999999</v>
      </c>
      <c r="F30" s="94"/>
      <c r="G30" s="94"/>
    </row>
    <row r="31" spans="1:17" x14ac:dyDescent="0.35">
      <c r="A31" t="s">
        <v>192</v>
      </c>
      <c r="B31" s="26">
        <f>SUM(B27:B29)</f>
        <v>2.3650000000000002</v>
      </c>
      <c r="C31" s="26">
        <f>SUM(C27:C29)</f>
        <v>1.1806999999999999</v>
      </c>
      <c r="F31" s="91"/>
      <c r="G31" s="91"/>
    </row>
    <row r="32" spans="1:17" x14ac:dyDescent="0.35">
      <c r="A32" t="s">
        <v>160</v>
      </c>
      <c r="B32" s="86">
        <f>B27/B31</f>
        <v>2.9556025369978856E-2</v>
      </c>
      <c r="C32" s="86">
        <f>C27/C31</f>
        <v>3.9637503176081994E-2</v>
      </c>
      <c r="F32" s="86"/>
      <c r="G32" s="86"/>
    </row>
    <row r="34" spans="1:7" x14ac:dyDescent="0.35">
      <c r="A34" t="s">
        <v>193</v>
      </c>
    </row>
    <row r="35" spans="1:7" x14ac:dyDescent="0.35">
      <c r="A35" t="s">
        <v>162</v>
      </c>
      <c r="B35" s="64">
        <f>B27+(B27*Q21)</f>
        <v>0.15849825000000001</v>
      </c>
      <c r="C35" s="64">
        <f>C27+(C27*Q21)</f>
        <v>0.10611899999999999</v>
      </c>
      <c r="F35" s="64"/>
      <c r="G35" s="64"/>
    </row>
    <row r="36" spans="1:7" x14ac:dyDescent="0.35">
      <c r="A36" t="s">
        <v>191</v>
      </c>
      <c r="B36" s="64">
        <f>B30</f>
        <v>2.2950999999999997</v>
      </c>
      <c r="C36" s="64">
        <f>C30</f>
        <v>1.1338999999999999</v>
      </c>
      <c r="F36" s="64"/>
      <c r="G36" s="64"/>
    </row>
    <row r="37" spans="1:7" x14ac:dyDescent="0.35">
      <c r="A37" t="s">
        <v>194</v>
      </c>
      <c r="B37" s="64">
        <f>B35+B36</f>
        <v>2.4535982499999998</v>
      </c>
      <c r="C37" s="64">
        <f>C35+C36</f>
        <v>1.240019</v>
      </c>
      <c r="F37" s="64"/>
      <c r="G37" s="64"/>
    </row>
    <row r="38" spans="1:7" x14ac:dyDescent="0.35">
      <c r="A38" t="s">
        <v>164</v>
      </c>
      <c r="B38" s="86">
        <f>B35/B37</f>
        <v>6.4598289471391665E-2</v>
      </c>
      <c r="C38" s="86">
        <f>C35/C37</f>
        <v>8.5578527425789433E-2</v>
      </c>
      <c r="F38" s="86"/>
      <c r="G38" s="8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F1BF-6EC8-4DAB-8AF0-35DEC909365B}">
  <sheetPr>
    <tabColor theme="0" tint="-0.499984740745262"/>
  </sheetPr>
  <dimension ref="A1:O57"/>
  <sheetViews>
    <sheetView workbookViewId="0">
      <selection activeCell="I8" sqref="I8"/>
    </sheetView>
  </sheetViews>
  <sheetFormatPr defaultColWidth="9.1796875" defaultRowHeight="14.5" x14ac:dyDescent="0.35"/>
  <cols>
    <col min="2" max="2" width="18.54296875" customWidth="1"/>
    <col min="3" max="3" width="11.54296875" customWidth="1"/>
    <col min="4" max="4" width="10.1796875" customWidth="1"/>
    <col min="6" max="6" width="10.453125" customWidth="1"/>
    <col min="7" max="7" width="9.1796875" customWidth="1"/>
    <col min="8" max="8" width="9.81640625" customWidth="1"/>
    <col min="9" max="9" width="10" customWidth="1"/>
  </cols>
  <sheetData>
    <row r="1" spans="1:6" ht="45" customHeight="1" x14ac:dyDescent="0.35">
      <c r="A1" s="184" t="s">
        <v>233</v>
      </c>
      <c r="B1" s="185"/>
      <c r="C1" s="185"/>
      <c r="D1" s="185"/>
      <c r="E1" s="186"/>
    </row>
    <row r="2" spans="1:6" x14ac:dyDescent="0.35">
      <c r="A2" s="67"/>
      <c r="B2" t="s">
        <v>12</v>
      </c>
      <c r="D2" s="106">
        <v>0.26</v>
      </c>
      <c r="E2" s="68"/>
    </row>
    <row r="3" spans="1:6" x14ac:dyDescent="0.35">
      <c r="A3" s="67"/>
      <c r="B3" t="s">
        <v>13</v>
      </c>
      <c r="D3" s="63">
        <v>0.11799999999999999</v>
      </c>
      <c r="E3" s="68"/>
    </row>
    <row r="4" spans="1:6" x14ac:dyDescent="0.35">
      <c r="A4" s="67"/>
      <c r="B4" t="s">
        <v>14</v>
      </c>
      <c r="D4" s="63">
        <v>0.11700000000000001</v>
      </c>
      <c r="E4" s="68"/>
    </row>
    <row r="5" spans="1:6" x14ac:dyDescent="0.35">
      <c r="A5" s="67"/>
      <c r="B5" t="s">
        <v>15</v>
      </c>
      <c r="D5" s="63">
        <v>0.115</v>
      </c>
      <c r="E5" s="68"/>
    </row>
    <row r="6" spans="1:6" x14ac:dyDescent="0.35">
      <c r="A6" s="67"/>
      <c r="B6" t="s">
        <v>16</v>
      </c>
      <c r="D6" s="63">
        <v>0.105</v>
      </c>
      <c r="E6" s="68"/>
    </row>
    <row r="7" spans="1:6" x14ac:dyDescent="0.35">
      <c r="A7" s="107"/>
      <c r="B7" s="72" t="s">
        <v>17</v>
      </c>
      <c r="C7" s="72"/>
      <c r="D7" s="179">
        <v>0.28499999999999998</v>
      </c>
      <c r="E7" s="105"/>
    </row>
    <row r="9" spans="1:6" x14ac:dyDescent="0.35">
      <c r="A9" s="134" t="s">
        <v>18</v>
      </c>
      <c r="B9" s="65"/>
      <c r="C9" s="65"/>
      <c r="D9" s="65"/>
      <c r="E9" s="66"/>
    </row>
    <row r="10" spans="1:6" ht="29" x14ac:dyDescent="0.35">
      <c r="A10" s="67" t="s">
        <v>19</v>
      </c>
      <c r="C10" s="154" t="s">
        <v>20</v>
      </c>
      <c r="D10" s="154" t="s">
        <v>21</v>
      </c>
      <c r="E10" s="155" t="s">
        <v>22</v>
      </c>
    </row>
    <row r="11" spans="1:6" x14ac:dyDescent="0.35">
      <c r="A11" s="67"/>
      <c r="B11" s="1" t="s">
        <v>23</v>
      </c>
      <c r="C11" s="149">
        <v>128576</v>
      </c>
      <c r="D11" s="149">
        <v>917007</v>
      </c>
      <c r="E11" s="69">
        <v>0.42</v>
      </c>
    </row>
    <row r="12" spans="1:6" x14ac:dyDescent="0.35">
      <c r="A12" s="67"/>
      <c r="B12" s="1" t="s">
        <v>24</v>
      </c>
      <c r="C12" s="149">
        <v>120644</v>
      </c>
      <c r="D12" s="149">
        <v>1250968</v>
      </c>
      <c r="E12" s="69">
        <v>0.32</v>
      </c>
    </row>
    <row r="13" spans="1:6" x14ac:dyDescent="0.35">
      <c r="A13" s="107"/>
      <c r="B13" s="153" t="s">
        <v>25</v>
      </c>
      <c r="C13" s="70">
        <v>6999</v>
      </c>
      <c r="D13" s="70">
        <v>260101</v>
      </c>
      <c r="E13" s="71">
        <v>0.4</v>
      </c>
    </row>
    <row r="15" spans="1:6" x14ac:dyDescent="0.35">
      <c r="A15" s="134" t="s">
        <v>26</v>
      </c>
      <c r="B15" s="65"/>
      <c r="C15" s="65"/>
      <c r="D15" s="65"/>
      <c r="E15" s="65"/>
      <c r="F15" s="66"/>
    </row>
    <row r="16" spans="1:6" ht="29" x14ac:dyDescent="0.35">
      <c r="A16" s="67" t="s">
        <v>19</v>
      </c>
      <c r="C16" s="156" t="s">
        <v>23</v>
      </c>
      <c r="D16" s="156" t="s">
        <v>24</v>
      </c>
      <c r="E16" s="156" t="s">
        <v>25</v>
      </c>
      <c r="F16" s="148" t="s">
        <v>27</v>
      </c>
    </row>
    <row r="17" spans="1:9" x14ac:dyDescent="0.35">
      <c r="A17" s="67"/>
      <c r="B17" t="s">
        <v>28</v>
      </c>
      <c r="C17">
        <v>406</v>
      </c>
      <c r="D17">
        <v>385</v>
      </c>
      <c r="E17">
        <v>335</v>
      </c>
      <c r="F17" s="68">
        <v>394</v>
      </c>
    </row>
    <row r="18" spans="1:9" x14ac:dyDescent="0.35">
      <c r="A18" s="67"/>
      <c r="B18" t="s">
        <v>29</v>
      </c>
      <c r="F18" s="68">
        <v>600</v>
      </c>
    </row>
    <row r="19" spans="1:9" x14ac:dyDescent="0.35">
      <c r="A19" s="107"/>
      <c r="B19" s="72" t="s">
        <v>30</v>
      </c>
      <c r="C19" s="72">
        <v>585</v>
      </c>
      <c r="D19" s="72">
        <v>569</v>
      </c>
      <c r="E19" s="72">
        <v>519</v>
      </c>
      <c r="F19" s="105">
        <v>577</v>
      </c>
    </row>
    <row r="21" spans="1:9" x14ac:dyDescent="0.35">
      <c r="A21" s="134" t="s">
        <v>31</v>
      </c>
      <c r="B21" s="65"/>
      <c r="C21" s="65"/>
      <c r="D21" s="65"/>
      <c r="E21" s="65"/>
      <c r="F21" s="65"/>
      <c r="G21" s="66"/>
    </row>
    <row r="22" spans="1:9" ht="29" x14ac:dyDescent="0.35">
      <c r="A22" s="67" t="s">
        <v>32</v>
      </c>
      <c r="C22" s="154" t="s">
        <v>33</v>
      </c>
      <c r="D22" s="154" t="s">
        <v>34</v>
      </c>
      <c r="E22" s="154" t="s">
        <v>35</v>
      </c>
      <c r="F22" s="154" t="s">
        <v>36</v>
      </c>
      <c r="G22" s="155" t="s">
        <v>22</v>
      </c>
    </row>
    <row r="23" spans="1:9" x14ac:dyDescent="0.35">
      <c r="A23" s="67"/>
      <c r="B23" s="1" t="s">
        <v>37</v>
      </c>
      <c r="C23" s="149">
        <v>14557</v>
      </c>
      <c r="D23" s="149">
        <v>2042</v>
      </c>
      <c r="E23" s="149">
        <v>228935</v>
      </c>
      <c r="F23" s="149">
        <v>32400</v>
      </c>
      <c r="G23" s="69">
        <v>0.25</v>
      </c>
    </row>
    <row r="24" spans="1:9" x14ac:dyDescent="0.35">
      <c r="A24" s="67"/>
      <c r="B24" s="1" t="s">
        <v>38</v>
      </c>
      <c r="C24" s="149">
        <v>15031</v>
      </c>
      <c r="D24" s="149">
        <v>3828</v>
      </c>
      <c r="E24" s="149">
        <v>256753</v>
      </c>
      <c r="F24" s="149">
        <v>53759</v>
      </c>
      <c r="G24" s="69">
        <v>0.25</v>
      </c>
    </row>
    <row r="25" spans="1:9" x14ac:dyDescent="0.35">
      <c r="A25" s="67"/>
      <c r="B25" s="1" t="s">
        <v>39</v>
      </c>
      <c r="C25" s="149">
        <f>57578-C26</f>
        <v>35848.153918088065</v>
      </c>
      <c r="D25" s="149">
        <f>5852-D26</f>
        <v>3932.2837796867107</v>
      </c>
      <c r="E25" s="149">
        <v>414909</v>
      </c>
      <c r="F25" s="149">
        <v>39580</v>
      </c>
      <c r="G25" s="69">
        <v>0.25</v>
      </c>
    </row>
    <row r="26" spans="1:9" x14ac:dyDescent="0.35">
      <c r="A26" s="67"/>
      <c r="B26" s="1" t="s">
        <v>40</v>
      </c>
      <c r="C26" s="149">
        <f>57578*(E26/E25)</f>
        <v>21729.846081911939</v>
      </c>
      <c r="D26" s="149">
        <f>5852*(F26/F25)</f>
        <v>1919.7162203132896</v>
      </c>
      <c r="E26" s="149">
        <v>156586</v>
      </c>
      <c r="F26" s="149">
        <v>12984</v>
      </c>
      <c r="G26" s="69">
        <v>0.25</v>
      </c>
    </row>
    <row r="27" spans="1:9" x14ac:dyDescent="0.35">
      <c r="A27" s="67"/>
      <c r="B27" s="1" t="s">
        <v>25</v>
      </c>
      <c r="C27" s="149">
        <v>1684</v>
      </c>
      <c r="D27" s="149">
        <v>572</v>
      </c>
      <c r="E27" s="149">
        <v>9809</v>
      </c>
      <c r="F27" s="149">
        <v>3520</v>
      </c>
      <c r="G27" s="69">
        <v>0.25</v>
      </c>
    </row>
    <row r="28" spans="1:9" x14ac:dyDescent="0.35">
      <c r="A28" s="67"/>
      <c r="B28" s="1" t="s">
        <v>41</v>
      </c>
      <c r="C28" s="149">
        <v>2901</v>
      </c>
      <c r="D28" s="149">
        <v>164</v>
      </c>
      <c r="E28" s="149">
        <v>49748</v>
      </c>
      <c r="F28" s="149">
        <v>7584</v>
      </c>
      <c r="G28" s="69">
        <v>0.25</v>
      </c>
    </row>
    <row r="29" spans="1:9" x14ac:dyDescent="0.35">
      <c r="A29" s="107"/>
      <c r="B29" s="153" t="s">
        <v>42</v>
      </c>
      <c r="C29" s="70">
        <v>2322</v>
      </c>
      <c r="D29" s="70">
        <v>562</v>
      </c>
      <c r="E29" s="70">
        <v>27599</v>
      </c>
      <c r="F29" s="70">
        <v>6819</v>
      </c>
      <c r="G29" s="71">
        <v>0.25</v>
      </c>
    </row>
    <row r="31" spans="1:9" x14ac:dyDescent="0.35">
      <c r="A31" s="134" t="s">
        <v>43</v>
      </c>
      <c r="B31" s="65"/>
      <c r="C31" s="65"/>
      <c r="D31" s="65"/>
      <c r="E31" s="65"/>
      <c r="F31" s="65"/>
      <c r="G31" s="65"/>
      <c r="H31" s="65"/>
      <c r="I31" s="66"/>
    </row>
    <row r="32" spans="1:9" ht="29" x14ac:dyDescent="0.35">
      <c r="A32" s="67" t="s">
        <v>44</v>
      </c>
      <c r="C32" s="147" t="s">
        <v>45</v>
      </c>
      <c r="D32" s="147" t="s">
        <v>46</v>
      </c>
      <c r="E32" s="147" t="s">
        <v>47</v>
      </c>
      <c r="F32" s="147" t="s">
        <v>48</v>
      </c>
      <c r="G32" s="147" t="s">
        <v>49</v>
      </c>
      <c r="H32" s="147" t="s">
        <v>41</v>
      </c>
      <c r="I32" s="148" t="s">
        <v>27</v>
      </c>
    </row>
    <row r="33" spans="1:15" x14ac:dyDescent="0.35">
      <c r="A33" s="67"/>
      <c r="B33" s="150" t="s">
        <v>50</v>
      </c>
      <c r="I33" s="68"/>
    </row>
    <row r="34" spans="1:15" x14ac:dyDescent="0.35">
      <c r="A34" s="67"/>
      <c r="B34" s="151" t="s">
        <v>51</v>
      </c>
      <c r="C34" s="151">
        <v>17.5</v>
      </c>
      <c r="D34" s="151">
        <v>9.1999999999999993</v>
      </c>
      <c r="E34" s="151">
        <v>12.5</v>
      </c>
      <c r="F34" s="151">
        <v>10.8</v>
      </c>
      <c r="G34" s="151">
        <v>9.1999999999999993</v>
      </c>
      <c r="H34" s="151">
        <v>10.8</v>
      </c>
      <c r="I34" s="68">
        <v>10.8</v>
      </c>
      <c r="J34" s="133"/>
      <c r="K34" s="133"/>
      <c r="L34" s="133"/>
      <c r="M34" s="133"/>
      <c r="N34" s="133"/>
      <c r="O34" s="133"/>
    </row>
    <row r="35" spans="1:15" x14ac:dyDescent="0.35">
      <c r="A35" s="67"/>
      <c r="B35" s="151" t="s">
        <v>52</v>
      </c>
      <c r="C35" s="151">
        <v>75.8</v>
      </c>
      <c r="D35" s="151">
        <v>95.8</v>
      </c>
      <c r="E35" s="151">
        <v>85.8</v>
      </c>
      <c r="F35" s="151">
        <v>90.8</v>
      </c>
      <c r="G35" s="151">
        <v>87.5</v>
      </c>
      <c r="H35" s="151">
        <v>80.8</v>
      </c>
      <c r="I35" s="68">
        <v>90.8</v>
      </c>
      <c r="J35" s="133"/>
      <c r="K35" s="133"/>
      <c r="L35" s="133"/>
      <c r="M35" s="133"/>
      <c r="N35" s="133"/>
      <c r="O35" s="133"/>
    </row>
    <row r="36" spans="1:15" x14ac:dyDescent="0.35">
      <c r="A36" s="67"/>
      <c r="B36" t="s">
        <v>53</v>
      </c>
      <c r="C36">
        <v>10.8</v>
      </c>
      <c r="D36">
        <v>7.5</v>
      </c>
      <c r="E36">
        <v>9.1999999999999993</v>
      </c>
      <c r="F36">
        <v>7.5</v>
      </c>
      <c r="G36">
        <v>7.5</v>
      </c>
      <c r="H36">
        <v>5.8</v>
      </c>
      <c r="I36" s="135">
        <v>8</v>
      </c>
      <c r="J36" s="133"/>
      <c r="K36" s="133"/>
      <c r="L36" s="133"/>
      <c r="M36" s="133"/>
      <c r="N36" s="133"/>
      <c r="O36" s="133"/>
    </row>
    <row r="37" spans="1:15" x14ac:dyDescent="0.35">
      <c r="A37" s="67"/>
      <c r="B37" t="s">
        <v>54</v>
      </c>
      <c r="C37">
        <v>17.5</v>
      </c>
      <c r="D37">
        <v>22.5</v>
      </c>
      <c r="E37">
        <v>20.8</v>
      </c>
      <c r="F37">
        <v>20.8</v>
      </c>
      <c r="G37">
        <v>5.8</v>
      </c>
      <c r="H37">
        <v>15.8</v>
      </c>
      <c r="I37" s="68">
        <v>20.2</v>
      </c>
      <c r="J37" s="133"/>
      <c r="K37" s="133"/>
      <c r="L37" s="133"/>
      <c r="M37" s="133"/>
      <c r="N37" s="133"/>
      <c r="O37" s="133"/>
    </row>
    <row r="38" spans="1:15" x14ac:dyDescent="0.35">
      <c r="A38" s="67"/>
      <c r="I38" s="68"/>
      <c r="J38" s="133"/>
      <c r="K38" s="133"/>
      <c r="L38" s="133"/>
      <c r="M38" s="133"/>
      <c r="N38" s="133"/>
      <c r="O38" s="133"/>
    </row>
    <row r="39" spans="1:15" x14ac:dyDescent="0.35">
      <c r="A39" s="67"/>
      <c r="B39" s="1" t="s">
        <v>55</v>
      </c>
      <c r="I39" s="68"/>
    </row>
    <row r="40" spans="1:15" x14ac:dyDescent="0.35">
      <c r="A40" s="67"/>
      <c r="B40" t="s">
        <v>44</v>
      </c>
      <c r="I40" s="68"/>
    </row>
    <row r="41" spans="1:15" x14ac:dyDescent="0.35">
      <c r="A41" s="67"/>
      <c r="B41" s="151" t="s">
        <v>56</v>
      </c>
      <c r="C41">
        <v>27.5</v>
      </c>
      <c r="D41">
        <v>19.2</v>
      </c>
      <c r="E41" s="151">
        <v>24.2</v>
      </c>
      <c r="F41">
        <v>19.2</v>
      </c>
      <c r="G41" s="151">
        <v>15.8</v>
      </c>
      <c r="H41">
        <v>20.2</v>
      </c>
      <c r="I41" s="68">
        <v>20</v>
      </c>
      <c r="J41" s="133"/>
      <c r="K41" s="133"/>
      <c r="L41" s="133"/>
      <c r="M41" s="133"/>
      <c r="N41" s="133"/>
      <c r="O41" s="133"/>
    </row>
    <row r="42" spans="1:15" x14ac:dyDescent="0.35">
      <c r="A42" s="67"/>
      <c r="B42" s="151" t="s">
        <v>57</v>
      </c>
      <c r="C42">
        <v>109.2</v>
      </c>
      <c r="D42">
        <v>125.8</v>
      </c>
      <c r="E42" s="151">
        <v>115.8</v>
      </c>
      <c r="F42">
        <v>122.5</v>
      </c>
      <c r="G42" s="151">
        <v>120.8</v>
      </c>
      <c r="H42">
        <v>107.5</v>
      </c>
      <c r="I42" s="68">
        <v>120.8</v>
      </c>
      <c r="J42" s="133"/>
      <c r="K42" s="133"/>
      <c r="L42" s="133"/>
      <c r="M42" s="133"/>
      <c r="N42" s="133"/>
      <c r="O42" s="133"/>
    </row>
    <row r="43" spans="1:15" x14ac:dyDescent="0.35">
      <c r="A43" s="67"/>
      <c r="B43" t="s">
        <v>58</v>
      </c>
      <c r="C43">
        <v>15.8</v>
      </c>
      <c r="D43">
        <v>12.5</v>
      </c>
      <c r="E43" s="152">
        <v>15</v>
      </c>
      <c r="F43">
        <v>12.5</v>
      </c>
      <c r="G43" s="151">
        <v>12.5</v>
      </c>
      <c r="H43">
        <v>10.8</v>
      </c>
      <c r="I43" s="68">
        <v>14.2</v>
      </c>
      <c r="J43" s="133"/>
      <c r="K43" s="133"/>
      <c r="L43" s="133"/>
      <c r="M43" s="133"/>
      <c r="N43" s="133"/>
      <c r="O43" s="133"/>
    </row>
    <row r="44" spans="1:15" x14ac:dyDescent="0.35">
      <c r="A44" s="67"/>
      <c r="B44" t="s">
        <v>59</v>
      </c>
      <c r="C44">
        <v>25.8</v>
      </c>
      <c r="D44">
        <v>29.2</v>
      </c>
      <c r="E44" s="151">
        <v>28.1</v>
      </c>
      <c r="F44">
        <v>28.1</v>
      </c>
      <c r="G44" s="152">
        <v>9</v>
      </c>
      <c r="H44">
        <v>21.2</v>
      </c>
      <c r="I44" s="68">
        <v>27.5</v>
      </c>
      <c r="J44" s="133"/>
      <c r="K44" s="133"/>
      <c r="L44" s="133"/>
      <c r="M44" s="133"/>
      <c r="N44" s="133"/>
      <c r="O44" s="133"/>
    </row>
    <row r="45" spans="1:15" x14ac:dyDescent="0.35">
      <c r="A45" s="67"/>
      <c r="I45" s="68"/>
    </row>
    <row r="46" spans="1:15" x14ac:dyDescent="0.35">
      <c r="A46" s="67"/>
      <c r="B46" s="1" t="s">
        <v>60</v>
      </c>
      <c r="I46" s="68"/>
    </row>
    <row r="47" spans="1:15" x14ac:dyDescent="0.35">
      <c r="A47" s="67"/>
      <c r="B47" t="s">
        <v>61</v>
      </c>
      <c r="I47" s="68">
        <v>125</v>
      </c>
    </row>
    <row r="48" spans="1:15" x14ac:dyDescent="0.35">
      <c r="A48" s="67"/>
      <c r="B48" t="s">
        <v>62</v>
      </c>
      <c r="I48" s="68">
        <v>25</v>
      </c>
    </row>
    <row r="49" spans="1:9" x14ac:dyDescent="0.35">
      <c r="A49" s="107"/>
      <c r="B49" s="72" t="s">
        <v>63</v>
      </c>
      <c r="C49" s="72"/>
      <c r="D49" s="72"/>
      <c r="E49" s="72"/>
      <c r="F49" s="72"/>
      <c r="G49" s="72"/>
      <c r="H49" s="72"/>
      <c r="I49" s="105">
        <v>15</v>
      </c>
    </row>
    <row r="52" spans="1:9" x14ac:dyDescent="0.35">
      <c r="A52" s="134" t="s">
        <v>64</v>
      </c>
      <c r="B52" s="66"/>
    </row>
    <row r="53" spans="1:9" x14ac:dyDescent="0.35">
      <c r="A53" s="67"/>
      <c r="B53" s="68" t="s">
        <v>65</v>
      </c>
    </row>
    <row r="54" spans="1:9" x14ac:dyDescent="0.35">
      <c r="A54" s="67"/>
      <c r="B54" s="68" t="s">
        <v>66</v>
      </c>
    </row>
    <row r="55" spans="1:9" x14ac:dyDescent="0.35">
      <c r="A55" s="67"/>
      <c r="B55" s="68" t="s">
        <v>29</v>
      </c>
    </row>
    <row r="56" spans="1:9" x14ac:dyDescent="0.35">
      <c r="A56" s="67"/>
      <c r="B56" s="68" t="s">
        <v>67</v>
      </c>
    </row>
    <row r="57" spans="1:9" x14ac:dyDescent="0.35">
      <c r="A57" s="107"/>
      <c r="B57" s="105" t="s">
        <v>68</v>
      </c>
    </row>
  </sheetData>
  <mergeCells count="1">
    <mergeCell ref="A1:E1"/>
  </mergeCells>
  <pageMargins left="0.7" right="0.7" top="0.75" bottom="0.75" header="0.3" footer="0.3"/>
  <pageSetup orientation="portrait" horizontalDpi="90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8215-A42A-4305-A3D5-D124D4602CC5}">
  <sheetPr>
    <tabColor theme="7" tint="-0.249977111117893"/>
  </sheetPr>
  <dimension ref="A1:Q38"/>
  <sheetViews>
    <sheetView workbookViewId="0">
      <selection activeCell="E6" sqref="E6"/>
    </sheetView>
  </sheetViews>
  <sheetFormatPr defaultRowHeight="14.5" x14ac:dyDescent="0.35"/>
  <cols>
    <col min="1" max="1" width="39.453125" bestFit="1" customWidth="1"/>
    <col min="2" max="2" width="10.453125" customWidth="1"/>
    <col min="3" max="13" width="10.81640625" customWidth="1"/>
    <col min="15" max="15" width="13.1796875" customWidth="1"/>
    <col min="16" max="16" width="11.1796875" bestFit="1" customWidth="1"/>
  </cols>
  <sheetData>
    <row r="1" spans="1:16" x14ac:dyDescent="0.35">
      <c r="A1" s="29" t="s">
        <v>226</v>
      </c>
    </row>
    <row r="3" spans="1:16" x14ac:dyDescent="0.35">
      <c r="A3" s="145" t="s">
        <v>128</v>
      </c>
      <c r="B3" s="145"/>
      <c r="C3" s="145"/>
      <c r="D3" s="145"/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7">
        <f>IF(SUMMARY!C3=Assumptions!B53,Assumptions!D34,(IF(SUMMARY!C3=Assumptions!B54,Assumptions!I34,(IF(SUMMARY!C3=Assumptions!B55,Assumptions!I49,(IF(SUMMARY!C3=Assumptions!B56,Assumptions!D41,(IF(SUMMARY!C3=Assumptions!B57,Assumptions!I41,0)))))))))</f>
        <v>19.2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IF(SUMMARY!C3=Assumptions!B53,Assumptions!D36,(IF(SUMMARY!C3=Assumptions!B54,Assumptions!I36,(IF(SUMMARY!C3=Assumptions!B55,Assumptions!I49,(IF(SUMMARY!C3=Assumptions!B56,Assumptions!D43,(IF(SUMMARY!C3=Assumptions!B57,Assumptions!I43,0)))))))))</f>
        <v>12.5</v>
      </c>
      <c r="C6" s="145"/>
      <c r="D6" s="145"/>
    </row>
    <row r="7" spans="1:16" x14ac:dyDescent="0.35">
      <c r="A7" s="145" t="s">
        <v>131</v>
      </c>
      <c r="B7" s="146">
        <f>SUMMARY!L5</f>
        <v>5.0000000000000001E-3</v>
      </c>
      <c r="C7" s="145"/>
      <c r="D7" s="145"/>
    </row>
    <row r="9" spans="1:16" x14ac:dyDescent="0.35">
      <c r="A9" t="s">
        <v>218</v>
      </c>
    </row>
    <row r="10" spans="1:16" x14ac:dyDescent="0.35">
      <c r="A10" t="s">
        <v>219</v>
      </c>
    </row>
    <row r="11" spans="1:16" x14ac:dyDescent="0.35">
      <c r="A11" t="s">
        <v>223</v>
      </c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Assumptions!$D$26*Assumptions!D2</f>
        <v>499.1262172814553</v>
      </c>
      <c r="C14" s="196">
        <f>VLOOKUP($B$4,'FPL Limits'!$J$3:$P$23,2,FALSE)</f>
        <v>10220</v>
      </c>
      <c r="D14" s="33">
        <f t="shared" ref="D14:D19" si="0">((($B$30*M14)+$B$26)*6+(($C$30*N14)+$C$26)*6)</f>
        <v>590.66946000000007</v>
      </c>
      <c r="E14" s="201">
        <f>D14/C14</f>
        <v>5.7795446183953041E-2</v>
      </c>
      <c r="F14" s="10">
        <f t="shared" ref="F14:F19" si="1">$B$7</f>
        <v>5.0000000000000001E-3</v>
      </c>
      <c r="G14" s="198">
        <f>C14*F14</f>
        <v>51.1</v>
      </c>
      <c r="H14" s="198">
        <f>IF(D14-G14&lt;0,0,D14-G14)</f>
        <v>539.56946000000005</v>
      </c>
      <c r="I14" s="131">
        <f>MAX(ROUND(H14/D14,2),25%)</f>
        <v>0.91</v>
      </c>
      <c r="J14" s="198">
        <f>D14-(D14*I14)</f>
        <v>53.160251399999993</v>
      </c>
      <c r="K14" s="12">
        <f>J14/C14</f>
        <v>5.2015901565557725E-3</v>
      </c>
      <c r="L14" s="13">
        <f>$B$4</f>
        <v>2</v>
      </c>
      <c r="M14" s="13">
        <f>$B$5</f>
        <v>19.2</v>
      </c>
      <c r="N14" s="13">
        <f>$B$6</f>
        <v>12.5</v>
      </c>
      <c r="O14" s="33">
        <f>B14*(D14-J14)</f>
        <v>268284.9380424667</v>
      </c>
      <c r="P14" s="33">
        <f>B14*D14*0.25</f>
        <v>73704.653308369976</v>
      </c>
    </row>
    <row r="15" spans="1:16" x14ac:dyDescent="0.35">
      <c r="A15" s="9" t="s">
        <v>5</v>
      </c>
      <c r="B15" s="9">
        <f>Assumptions!$D$26*Assumptions!D3</f>
        <v>226.52651399696816</v>
      </c>
      <c r="C15" s="196">
        <f>VLOOKUP($B$4,'FPL Limits'!$J$3:$P$23,3,FALSE)</f>
        <v>22995</v>
      </c>
      <c r="D15" s="33">
        <f t="shared" si="0"/>
        <v>590.66946000000007</v>
      </c>
      <c r="E15" s="201">
        <f t="shared" ref="E15:E19" si="2">D15/C15</f>
        <v>2.5686864970645797E-2</v>
      </c>
      <c r="F15" s="10">
        <f t="shared" si="1"/>
        <v>5.0000000000000001E-3</v>
      </c>
      <c r="G15" s="198">
        <f t="shared" ref="G15:G19" si="3">C15*F15</f>
        <v>114.97500000000001</v>
      </c>
      <c r="H15" s="198">
        <f t="shared" ref="H15:H19" si="4">IF(D15-G15&lt;0,0,D15-G15)</f>
        <v>475.69446000000005</v>
      </c>
      <c r="I15" s="131">
        <f>AVERAGE(I14,I19)</f>
        <v>0.58000000000000007</v>
      </c>
      <c r="J15" s="198">
        <f t="shared" ref="J15:J19" si="5">D15-(D15*I15)</f>
        <v>248.08117319999997</v>
      </c>
      <c r="K15" s="12">
        <f t="shared" ref="K15:K19" si="6">J15/C15</f>
        <v>1.0788483287671232E-2</v>
      </c>
      <c r="L15" s="13">
        <f t="shared" ref="L15:L19" si="7">$B$4</f>
        <v>2</v>
      </c>
      <c r="M15" s="13">
        <f t="shared" ref="M15:M19" si="8">$B$5</f>
        <v>19.2</v>
      </c>
      <c r="N15" s="13">
        <f t="shared" ref="N15:N19" si="9">$B$6</f>
        <v>12.5</v>
      </c>
      <c r="O15" s="33">
        <f t="shared" ref="O15:O19" si="10">B15*(D15-J15)</f>
        <v>77605.330344997565</v>
      </c>
      <c r="P15" s="33">
        <f t="shared" ref="P15:P19" si="11">B15*D15*0.25</f>
        <v>33450.573424567912</v>
      </c>
    </row>
    <row r="16" spans="1:16" x14ac:dyDescent="0.35">
      <c r="A16" s="9" t="s">
        <v>6</v>
      </c>
      <c r="B16" s="9">
        <f>Assumptions!$D$26*Assumptions!D4</f>
        <v>224.6067977766549</v>
      </c>
      <c r="C16" s="196">
        <f>VLOOKUP($B$4,'FPL Limits'!$J$3:$P$23,4,FALSE)</f>
        <v>28105</v>
      </c>
      <c r="D16" s="33">
        <f t="shared" si="0"/>
        <v>590.66946000000007</v>
      </c>
      <c r="E16" s="201">
        <f t="shared" si="2"/>
        <v>2.1016525885073831E-2</v>
      </c>
      <c r="F16" s="10">
        <f t="shared" si="1"/>
        <v>5.0000000000000001E-3</v>
      </c>
      <c r="G16" s="198">
        <f t="shared" si="3"/>
        <v>140.52500000000001</v>
      </c>
      <c r="H16" s="198">
        <f>IF(D16-G16&lt;0,0,D16-G16)</f>
        <v>450.14446000000009</v>
      </c>
      <c r="I16" s="131">
        <f>I15</f>
        <v>0.58000000000000007</v>
      </c>
      <c r="J16" s="198">
        <f t="shared" si="5"/>
        <v>248.08117319999997</v>
      </c>
      <c r="K16" s="12">
        <f t="shared" si="6"/>
        <v>8.826940871731007E-3</v>
      </c>
      <c r="L16" s="13">
        <f t="shared" si="7"/>
        <v>2</v>
      </c>
      <c r="M16" s="13">
        <f t="shared" si="8"/>
        <v>19.2</v>
      </c>
      <c r="N16" s="13">
        <f t="shared" si="9"/>
        <v>12.5</v>
      </c>
      <c r="O16" s="33">
        <f t="shared" si="10"/>
        <v>76947.65805393827</v>
      </c>
      <c r="P16" s="33">
        <f t="shared" si="11"/>
        <v>33167.093988766494</v>
      </c>
    </row>
    <row r="17" spans="1:17" x14ac:dyDescent="0.35">
      <c r="A17" s="9" t="s">
        <v>7</v>
      </c>
      <c r="B17" s="9">
        <f>Assumptions!$D$26*Assumptions!D5</f>
        <v>220.76736533602832</v>
      </c>
      <c r="C17" s="196">
        <f>VLOOKUP($B$4,'FPL Limits'!$J$3:$P$23,5,FALSE)</f>
        <v>33215</v>
      </c>
      <c r="D17" s="33">
        <f t="shared" si="0"/>
        <v>590.66946000000007</v>
      </c>
      <c r="E17" s="201">
        <f t="shared" si="2"/>
        <v>1.7783214210447089E-2</v>
      </c>
      <c r="F17" s="10">
        <f t="shared" si="1"/>
        <v>5.0000000000000001E-3</v>
      </c>
      <c r="G17" s="198">
        <f t="shared" si="3"/>
        <v>166.07500000000002</v>
      </c>
      <c r="H17" s="198">
        <f t="shared" si="4"/>
        <v>424.59446000000003</v>
      </c>
      <c r="I17" s="131">
        <f>I15</f>
        <v>0.58000000000000007</v>
      </c>
      <c r="J17" s="198">
        <f t="shared" si="5"/>
        <v>248.08117319999997</v>
      </c>
      <c r="K17" s="12">
        <f t="shared" si="6"/>
        <v>7.4689499683877753E-3</v>
      </c>
      <c r="L17" s="13">
        <f t="shared" si="7"/>
        <v>2</v>
      </c>
      <c r="M17" s="13">
        <f t="shared" si="8"/>
        <v>19.2</v>
      </c>
      <c r="N17" s="13">
        <f t="shared" si="9"/>
        <v>12.5</v>
      </c>
      <c r="O17" s="33">
        <f t="shared" si="10"/>
        <v>75632.313471819667</v>
      </c>
      <c r="P17" s="33">
        <f t="shared" si="11"/>
        <v>32600.135117163645</v>
      </c>
    </row>
    <row r="18" spans="1:17" x14ac:dyDescent="0.35">
      <c r="A18" s="9" t="s">
        <v>150</v>
      </c>
      <c r="B18" s="9">
        <f>Assumptions!$D$26*Assumptions!D6</f>
        <v>201.57020313289539</v>
      </c>
      <c r="C18" s="196">
        <f>VLOOKUP($B$4,'FPL Limits'!$J$3:$P$23,6,FALSE)</f>
        <v>38325</v>
      </c>
      <c r="D18" s="33">
        <f t="shared" si="0"/>
        <v>590.66946000000007</v>
      </c>
      <c r="E18" s="201">
        <f t="shared" si="2"/>
        <v>1.5412118982387478E-2</v>
      </c>
      <c r="F18" s="10">
        <f t="shared" si="1"/>
        <v>5.0000000000000001E-3</v>
      </c>
      <c r="G18" s="198">
        <f t="shared" si="3"/>
        <v>191.625</v>
      </c>
      <c r="H18" s="198">
        <f t="shared" si="4"/>
        <v>399.04446000000007</v>
      </c>
      <c r="I18" s="131">
        <f>I15</f>
        <v>0.58000000000000007</v>
      </c>
      <c r="J18" s="198">
        <f t="shared" si="5"/>
        <v>248.08117319999997</v>
      </c>
      <c r="K18" s="12">
        <f t="shared" si="6"/>
        <v>6.4730899726027392E-3</v>
      </c>
      <c r="L18" s="13">
        <f t="shared" si="7"/>
        <v>2</v>
      </c>
      <c r="M18" s="13">
        <f t="shared" si="8"/>
        <v>19.2</v>
      </c>
      <c r="N18" s="13">
        <f t="shared" si="9"/>
        <v>12.5</v>
      </c>
      <c r="O18" s="33">
        <f t="shared" si="10"/>
        <v>69055.590561226651</v>
      </c>
      <c r="P18" s="33">
        <f t="shared" si="11"/>
        <v>29765.340759149411</v>
      </c>
    </row>
    <row r="19" spans="1:17" x14ac:dyDescent="0.35">
      <c r="A19" s="9" t="s">
        <v>9</v>
      </c>
      <c r="B19" s="9">
        <f>Assumptions!$D$26*Assumptions!D7</f>
        <v>547.11912278928753</v>
      </c>
      <c r="C19" s="196">
        <f>VLOOKUP($B$4,'FPL Limits'!$J$3:$P$23,7,FALSE)</f>
        <v>52606.5</v>
      </c>
      <c r="D19" s="33">
        <f t="shared" si="0"/>
        <v>590.66946000000007</v>
      </c>
      <c r="E19" s="201">
        <f t="shared" si="2"/>
        <v>1.1228069915314649E-2</v>
      </c>
      <c r="F19" s="10">
        <f t="shared" si="1"/>
        <v>5.0000000000000001E-3</v>
      </c>
      <c r="G19" s="198">
        <f t="shared" si="3"/>
        <v>263.03250000000003</v>
      </c>
      <c r="H19" s="198">
        <f t="shared" si="4"/>
        <v>327.63696000000004</v>
      </c>
      <c r="I19" s="131">
        <v>0.25</v>
      </c>
      <c r="J19" s="198">
        <f t="shared" si="5"/>
        <v>443.00209500000005</v>
      </c>
      <c r="K19" s="12">
        <f t="shared" si="6"/>
        <v>8.4210524364859863E-3</v>
      </c>
      <c r="L19" s="13">
        <f t="shared" si="7"/>
        <v>2</v>
      </c>
      <c r="M19" s="13">
        <f t="shared" si="8"/>
        <v>19.2</v>
      </c>
      <c r="N19" s="140">
        <f t="shared" si="9"/>
        <v>12.5</v>
      </c>
      <c r="O19" s="141">
        <f t="shared" si="10"/>
        <v>80791.639203405546</v>
      </c>
      <c r="P19" s="141">
        <f t="shared" si="11"/>
        <v>80791.639203405546</v>
      </c>
    </row>
    <row r="20" spans="1:17" x14ac:dyDescent="0.35">
      <c r="B20" s="12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2" t="s">
        <v>151</v>
      </c>
      <c r="O20" s="139">
        <f>SUM(O14:O19)</f>
        <v>648317.46967785445</v>
      </c>
      <c r="P20" s="139">
        <f>SUM(P14:P19)</f>
        <v>283479.43580142298</v>
      </c>
    </row>
    <row r="21" spans="1:17" x14ac:dyDescent="0.35">
      <c r="O21" s="142" t="s">
        <v>169</v>
      </c>
      <c r="P21" s="139">
        <f>O20-P20</f>
        <v>364838.03387643147</v>
      </c>
      <c r="Q21" s="143">
        <f>P21/P20</f>
        <v>1.2870000000000004</v>
      </c>
    </row>
    <row r="23" spans="1:17" x14ac:dyDescent="0.35">
      <c r="A23" s="31" t="s">
        <v>225</v>
      </c>
    </row>
    <row r="25" spans="1:17" x14ac:dyDescent="0.35">
      <c r="A25" s="1" t="s">
        <v>197</v>
      </c>
      <c r="B25" s="25">
        <v>45597</v>
      </c>
      <c r="C25" s="25">
        <v>45413</v>
      </c>
      <c r="E25" s="1"/>
      <c r="F25" s="25"/>
      <c r="G25" s="25"/>
    </row>
    <row r="26" spans="1:17" x14ac:dyDescent="0.35">
      <c r="A26" t="s">
        <v>154</v>
      </c>
      <c r="B26" s="14">
        <v>10</v>
      </c>
      <c r="C26" s="14">
        <v>10</v>
      </c>
      <c r="F26" s="36"/>
      <c r="G26" s="36"/>
    </row>
    <row r="27" spans="1:17" x14ac:dyDescent="0.35">
      <c r="A27" t="s">
        <v>188</v>
      </c>
      <c r="B27" s="99">
        <v>6.9900000000000004E-2</v>
      </c>
      <c r="C27" s="99">
        <v>4.6800000000000001E-2</v>
      </c>
      <c r="F27" s="99"/>
      <c r="G27" s="99"/>
    </row>
    <row r="28" spans="1:17" x14ac:dyDescent="0.35">
      <c r="A28" t="s">
        <v>189</v>
      </c>
      <c r="B28" s="26">
        <v>2.0030999999999999</v>
      </c>
      <c r="C28" s="26">
        <v>1.5167000000000002</v>
      </c>
      <c r="F28" s="102"/>
      <c r="G28" s="102"/>
    </row>
    <row r="29" spans="1:17" ht="16" x14ac:dyDescent="0.5">
      <c r="A29" s="20" t="s">
        <v>190</v>
      </c>
      <c r="B29" s="27">
        <v>0.84670000000000001</v>
      </c>
      <c r="C29" s="27">
        <v>0.38159999999999999</v>
      </c>
      <c r="E29" s="20"/>
      <c r="F29" s="101"/>
      <c r="G29" s="101"/>
    </row>
    <row r="30" spans="1:17" x14ac:dyDescent="0.35">
      <c r="A30" t="s">
        <v>191</v>
      </c>
      <c r="B30" s="28">
        <f>B28+B29</f>
        <v>2.8498000000000001</v>
      </c>
      <c r="C30" s="28">
        <f>C28+C29</f>
        <v>1.8983000000000001</v>
      </c>
      <c r="F30" s="100"/>
      <c r="G30" s="100"/>
    </row>
    <row r="31" spans="1:17" x14ac:dyDescent="0.35">
      <c r="A31" t="s">
        <v>192</v>
      </c>
      <c r="B31" s="26">
        <f>SUM(B27:B29)</f>
        <v>2.9196999999999997</v>
      </c>
      <c r="C31" s="26">
        <f>SUM(C27:C29)</f>
        <v>1.9451000000000001</v>
      </c>
      <c r="F31" s="102"/>
      <c r="G31" s="102"/>
    </row>
    <row r="32" spans="1:17" x14ac:dyDescent="0.35">
      <c r="A32" t="s">
        <v>160</v>
      </c>
      <c r="B32" s="86">
        <f>B27/B31</f>
        <v>2.3940815837243556E-2</v>
      </c>
      <c r="C32" s="86">
        <f>C27/C31</f>
        <v>2.4060459616472161E-2</v>
      </c>
      <c r="F32" s="39"/>
      <c r="G32" s="39"/>
    </row>
    <row r="34" spans="1:7" x14ac:dyDescent="0.35">
      <c r="A34" t="s">
        <v>193</v>
      </c>
    </row>
    <row r="35" spans="1:7" x14ac:dyDescent="0.35">
      <c r="A35" t="s">
        <v>162</v>
      </c>
      <c r="B35" s="64">
        <f>B27+(B27*Q21)</f>
        <v>0.15986130000000004</v>
      </c>
      <c r="C35" s="64">
        <f>C27+(C27*Q21)</f>
        <v>0.10703160000000002</v>
      </c>
      <c r="F35" s="64"/>
      <c r="G35" s="64"/>
    </row>
    <row r="36" spans="1:7" x14ac:dyDescent="0.35">
      <c r="A36" t="s">
        <v>191</v>
      </c>
      <c r="B36" s="64">
        <f>B30</f>
        <v>2.8498000000000001</v>
      </c>
      <c r="C36" s="64">
        <f>C30</f>
        <v>1.8983000000000001</v>
      </c>
      <c r="F36" s="64"/>
      <c r="G36" s="64"/>
    </row>
    <row r="37" spans="1:7" x14ac:dyDescent="0.35">
      <c r="A37" t="s">
        <v>194</v>
      </c>
      <c r="B37" s="64">
        <f>B35+B36</f>
        <v>3.0096613000000003</v>
      </c>
      <c r="C37" s="64">
        <f>C35+C36</f>
        <v>2.0053316000000003</v>
      </c>
      <c r="F37" s="64"/>
      <c r="G37" s="64"/>
    </row>
    <row r="38" spans="1:7" x14ac:dyDescent="0.35">
      <c r="A38" t="s">
        <v>164</v>
      </c>
      <c r="B38" s="86">
        <f>B35/B37</f>
        <v>5.311604332354608E-2</v>
      </c>
      <c r="C38" s="86">
        <f>C35/C37</f>
        <v>5.3373516878704751E-2</v>
      </c>
      <c r="F38" s="39"/>
      <c r="G38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AF7D-7357-4090-B7B8-83B9F1C0C4BE}">
  <sheetPr>
    <tabColor rgb="FFFA34F0"/>
  </sheetPr>
  <dimension ref="B1:M51"/>
  <sheetViews>
    <sheetView showGridLines="0" tabSelected="1" zoomScaleNormal="100" workbookViewId="0">
      <selection activeCell="S8" sqref="S8"/>
    </sheetView>
  </sheetViews>
  <sheetFormatPr defaultRowHeight="14.5" x14ac:dyDescent="0.35"/>
  <cols>
    <col min="2" max="2" width="23.54296875" customWidth="1"/>
    <col min="3" max="3" width="13.453125" customWidth="1"/>
    <col min="4" max="5" width="12.81640625" customWidth="1"/>
    <col min="6" max="8" width="13.54296875" style="3" hidden="1" customWidth="1"/>
    <col min="9" max="9" width="13.54296875" customWidth="1"/>
    <col min="10" max="10" width="12.7265625" customWidth="1"/>
    <col min="11" max="11" width="15.453125" customWidth="1"/>
    <col min="12" max="12" width="15" customWidth="1"/>
  </cols>
  <sheetData>
    <row r="1" spans="2:13" ht="18.5" x14ac:dyDescent="0.45">
      <c r="B1" s="187" t="s">
        <v>69</v>
      </c>
      <c r="C1" s="188"/>
      <c r="D1" s="188"/>
      <c r="E1" s="188"/>
      <c r="F1" s="188"/>
      <c r="G1" s="188"/>
      <c r="H1" s="188"/>
      <c r="I1" s="188"/>
      <c r="J1" s="188"/>
      <c r="K1" s="188"/>
      <c r="L1" s="189"/>
    </row>
    <row r="2" spans="2:13" s="174" customFormat="1" ht="25.5" customHeight="1" x14ac:dyDescent="0.35">
      <c r="B2" s="171" t="s">
        <v>70</v>
      </c>
      <c r="C2" s="172" t="s">
        <v>71</v>
      </c>
      <c r="D2" s="173"/>
      <c r="E2" s="173"/>
      <c r="F2" s="173"/>
      <c r="G2" s="173"/>
      <c r="H2" s="173"/>
      <c r="I2" s="175" t="s">
        <v>72</v>
      </c>
      <c r="J2" s="172"/>
      <c r="K2" s="173"/>
      <c r="L2" s="180" t="s">
        <v>73</v>
      </c>
    </row>
    <row r="3" spans="2:13" x14ac:dyDescent="0.35">
      <c r="B3" s="110" t="s">
        <v>74</v>
      </c>
      <c r="C3" s="167" t="s">
        <v>67</v>
      </c>
      <c r="I3" s="67" t="s">
        <v>75</v>
      </c>
      <c r="L3" s="168">
        <v>0.02</v>
      </c>
    </row>
    <row r="4" spans="2:13" x14ac:dyDescent="0.35">
      <c r="B4" s="110" t="s">
        <v>76</v>
      </c>
      <c r="C4" s="167" t="s">
        <v>67</v>
      </c>
      <c r="I4" s="67" t="s">
        <v>77</v>
      </c>
      <c r="L4" s="168">
        <v>0.02</v>
      </c>
    </row>
    <row r="5" spans="2:13" ht="15" thickBot="1" x14ac:dyDescent="0.4">
      <c r="B5" s="111" t="s">
        <v>78</v>
      </c>
      <c r="C5" s="169">
        <v>2</v>
      </c>
      <c r="D5" s="112"/>
      <c r="E5" s="112"/>
      <c r="F5" s="113"/>
      <c r="G5" s="113"/>
      <c r="H5" s="113"/>
      <c r="I5" s="114" t="s">
        <v>79</v>
      </c>
      <c r="J5" s="112"/>
      <c r="K5" s="112"/>
      <c r="L5" s="170">
        <v>5.0000000000000001E-3</v>
      </c>
    </row>
    <row r="7" spans="2:13" ht="15" thickBot="1" x14ac:dyDescent="0.4"/>
    <row r="8" spans="2:13" ht="57" customHeight="1" thickBot="1" x14ac:dyDescent="0.4">
      <c r="B8" s="130"/>
      <c r="C8" s="49" t="s">
        <v>229</v>
      </c>
      <c r="D8" s="128" t="s">
        <v>230</v>
      </c>
      <c r="E8" s="50" t="s">
        <v>231</v>
      </c>
      <c r="F8" s="51" t="s">
        <v>80</v>
      </c>
      <c r="G8" s="51" t="s">
        <v>81</v>
      </c>
      <c r="H8" s="51" t="s">
        <v>82</v>
      </c>
      <c r="I8" s="108" t="s">
        <v>83</v>
      </c>
      <c r="J8" s="108" t="s">
        <v>84</v>
      </c>
      <c r="K8" s="50" t="s">
        <v>228</v>
      </c>
      <c r="L8" s="119" t="s">
        <v>85</v>
      </c>
      <c r="M8" s="84"/>
    </row>
    <row r="9" spans="2:13" ht="25.5" customHeight="1" x14ac:dyDescent="0.35">
      <c r="B9" s="190" t="s">
        <v>86</v>
      </c>
      <c r="C9" s="191"/>
      <c r="D9" s="191"/>
      <c r="E9" s="191"/>
      <c r="F9" s="191"/>
      <c r="G9" s="191"/>
      <c r="H9" s="191"/>
      <c r="I9" s="191"/>
      <c r="J9" s="191"/>
      <c r="K9" s="191"/>
      <c r="L9" s="192"/>
    </row>
    <row r="10" spans="2:13" x14ac:dyDescent="0.35">
      <c r="B10" s="55" t="s">
        <v>87</v>
      </c>
      <c r="C10" s="56">
        <f>'NSTAR Electric R2'!I14</f>
        <v>0.92</v>
      </c>
      <c r="D10" s="132">
        <f>'NSTAR Electric R2'!I15</f>
        <v>0.67</v>
      </c>
      <c r="E10" s="47">
        <f>'NSTAR Electric R2'!I19</f>
        <v>0.42</v>
      </c>
      <c r="F10" s="61">
        <f>'NSTAR Electric R2'!O20/1000</f>
        <v>135009.978784128</v>
      </c>
      <c r="G10" s="61">
        <f>'NSTAR Electric R2'!N20/1000</f>
        <v>213363.984328488</v>
      </c>
      <c r="H10" s="61">
        <f>G10-F10</f>
        <v>78354.005544359999</v>
      </c>
      <c r="I10" s="109">
        <f>H10/F10</f>
        <v>0.58035714285714279</v>
      </c>
      <c r="J10" s="115">
        <f>'NSTAR Electric R2'!D32</f>
        <v>2.6739579745091287E-2</v>
      </c>
      <c r="K10" s="116">
        <f>'NSTAR Electric R2'!D38</f>
        <v>4.1612324731880514E-2</v>
      </c>
      <c r="L10" s="120">
        <f>K10-J10</f>
        <v>1.4872744986789227E-2</v>
      </c>
    </row>
    <row r="11" spans="2:13" x14ac:dyDescent="0.35">
      <c r="B11" s="55" t="s">
        <v>88</v>
      </c>
      <c r="C11" s="48">
        <f>'NGrid Meco Electric R2'!I14</f>
        <v>0.92</v>
      </c>
      <c r="D11" s="132">
        <f>'NGrid Meco Electric R2'!I15</f>
        <v>0.62</v>
      </c>
      <c r="E11" s="47">
        <f>'NGrid Meco Electric R2'!I19</f>
        <v>0.32</v>
      </c>
      <c r="F11" s="61">
        <f>'NGrid Meco Electric R2'!O20/1000</f>
        <v>122695.39838818082</v>
      </c>
      <c r="G11" s="61">
        <f>'NGrid Meco Electric R2'!N20/1000</f>
        <v>178930.78931609698</v>
      </c>
      <c r="H11" s="61">
        <f>G11-F11</f>
        <v>56235.39092791616</v>
      </c>
      <c r="I11" s="109">
        <f>H11/F11</f>
        <v>0.45833333333333293</v>
      </c>
      <c r="J11" s="115">
        <f>'NGrid Meco Electric R2'!D32</f>
        <v>2.7929204046300671E-2</v>
      </c>
      <c r="K11" s="116">
        <f>'NGrid Meco Electric R2'!D38</f>
        <v>4.0215297823947407E-2</v>
      </c>
      <c r="L11" s="120">
        <f>K11-J11</f>
        <v>1.2286093777646737E-2</v>
      </c>
    </row>
    <row r="12" spans="2:13" x14ac:dyDescent="0.35">
      <c r="B12" s="55" t="s">
        <v>89</v>
      </c>
      <c r="C12" s="48">
        <f>'FGE Electric R2'!I14</f>
        <v>0.93</v>
      </c>
      <c r="D12" s="132">
        <f>'FGE Electric R2'!I15</f>
        <v>0.66500000000000004</v>
      </c>
      <c r="E12" s="47">
        <f>'FGE Electric R2'!I19</f>
        <v>0.4</v>
      </c>
      <c r="F12" s="61">
        <f>'FGE Electric R2'!O20/1000</f>
        <v>8108.8968650507995</v>
      </c>
      <c r="G12" s="61">
        <f>'FGE Electric R2'!N20/1000</f>
        <v>12711.178508399575</v>
      </c>
      <c r="H12" s="61">
        <f>G12-F12</f>
        <v>4602.2816433487751</v>
      </c>
      <c r="I12" s="109">
        <f>H12/F12</f>
        <v>0.56755952380952412</v>
      </c>
      <c r="J12" s="115">
        <f>'FGE Electric R2'!D32</f>
        <v>6.1486501353165086E-2</v>
      </c>
      <c r="K12" s="116">
        <f>'FGE Electric R2'!D38</f>
        <v>9.3133642818247778E-2</v>
      </c>
      <c r="L12" s="120">
        <f>K12-J12</f>
        <v>3.1647141465082691E-2</v>
      </c>
    </row>
    <row r="13" spans="2:13" ht="5.25" customHeight="1" x14ac:dyDescent="0.35">
      <c r="B13" s="57"/>
      <c r="C13" s="58"/>
      <c r="D13" s="58"/>
      <c r="E13" s="58"/>
      <c r="F13" s="53"/>
      <c r="G13" s="53"/>
      <c r="H13" s="53"/>
      <c r="I13" s="58"/>
      <c r="J13" s="58"/>
      <c r="K13" s="58"/>
      <c r="L13" s="118"/>
    </row>
    <row r="14" spans="2:13" ht="25.5" customHeight="1" x14ac:dyDescent="0.35">
      <c r="B14" s="193" t="s">
        <v>90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5"/>
    </row>
    <row r="15" spans="2:13" x14ac:dyDescent="0.35">
      <c r="B15" s="54" t="s">
        <v>91</v>
      </c>
      <c r="C15" s="53"/>
      <c r="D15" s="53"/>
      <c r="E15" s="53"/>
      <c r="F15" s="53"/>
      <c r="G15" s="53"/>
      <c r="H15" s="53"/>
      <c r="I15" s="53"/>
      <c r="J15" s="53"/>
      <c r="K15" s="53"/>
      <c r="L15" s="118"/>
    </row>
    <row r="16" spans="2:13" x14ac:dyDescent="0.35">
      <c r="B16" s="52" t="s">
        <v>92</v>
      </c>
      <c r="C16" s="48">
        <f>'NSTAR Gas H R4'!I14</f>
        <v>0.9</v>
      </c>
      <c r="D16" s="132">
        <f>'NSTAR Gas H R4'!I15</f>
        <v>0.57499999999999996</v>
      </c>
      <c r="E16" s="47">
        <f>'NSTAR Gas H R4'!I19</f>
        <v>0.25</v>
      </c>
      <c r="F16" s="61">
        <f>'NSTAR Gas H R4'!P20/1000</f>
        <v>16124.977476</v>
      </c>
      <c r="G16" s="61">
        <f>'NSTAR Gas H R4'!O20/1000</f>
        <v>36563.386426829995</v>
      </c>
      <c r="H16" s="61">
        <f>G16-F16</f>
        <v>20438.408950829995</v>
      </c>
      <c r="I16" s="109">
        <f>H16/F16</f>
        <v>1.2674999999999996</v>
      </c>
      <c r="J16" s="115">
        <f>'NSTAR Gas H R4'!B32</f>
        <v>2.3593237446379006E-2</v>
      </c>
      <c r="K16" s="116">
        <f>'NSTAR Gas H R4'!B38</f>
        <v>5.1944301268310844E-2</v>
      </c>
      <c r="L16" s="120">
        <f>K16-J16</f>
        <v>2.8351063821931838E-2</v>
      </c>
    </row>
    <row r="17" spans="2:12" x14ac:dyDescent="0.35">
      <c r="B17" s="52" t="s">
        <v>93</v>
      </c>
      <c r="C17" s="48">
        <f>'NSTAR Gas NH R2'!I14</f>
        <v>0.93</v>
      </c>
      <c r="D17" s="132">
        <f>'NSTAR Gas NH R2'!I15</f>
        <v>0.59000000000000008</v>
      </c>
      <c r="E17" s="47">
        <f>'NSTAR Gas NH R2'!I19</f>
        <v>0.25</v>
      </c>
      <c r="F17" s="61">
        <f>'NSTAR Gas NH R2'!P20/1000</f>
        <v>351.57101748000002</v>
      </c>
      <c r="G17" s="61">
        <f>'NSTAR Gas NH R2'!O20/1000</f>
        <v>817.75418665848019</v>
      </c>
      <c r="H17" s="61">
        <f>G17-F17</f>
        <v>466.18316917848017</v>
      </c>
      <c r="I17" s="109">
        <f>H17/F17</f>
        <v>1.3260000000000003</v>
      </c>
      <c r="J17" s="115">
        <f>'NSTAR Gas NH R2'!B32</f>
        <v>2.0072274499982109E-2</v>
      </c>
      <c r="K17" s="116">
        <f>'NSTAR Gas NH R2'!B38</f>
        <v>4.5477683910917846E-2</v>
      </c>
      <c r="L17" s="120">
        <f>K17-J17</f>
        <v>2.5405409410935737E-2</v>
      </c>
    </row>
    <row r="18" spans="2:12" x14ac:dyDescent="0.35">
      <c r="B18" s="52" t="s">
        <v>94</v>
      </c>
      <c r="C18" s="48">
        <f>'EGMA Gas H R4'!I14</f>
        <v>0.89</v>
      </c>
      <c r="D18" s="132">
        <f>'EGMA Gas H R4'!I15</f>
        <v>0.57000000000000006</v>
      </c>
      <c r="E18" s="47">
        <f>'EGMA Gas H R4'!I19</f>
        <v>0.25</v>
      </c>
      <c r="F18" s="61">
        <f>'EGMA Gas H R4'!P20/1000</f>
        <v>25928.833101465007</v>
      </c>
      <c r="G18" s="61">
        <f>'EGMA Gas H R4'!O20/1000</f>
        <v>58288.01681209333</v>
      </c>
      <c r="H18" s="61">
        <f>G18-F18</f>
        <v>32359.183710628324</v>
      </c>
      <c r="I18" s="109">
        <f>H18/F18</f>
        <v>1.2479999999999998</v>
      </c>
      <c r="J18" s="115">
        <f>'EGMA Gas H R4'!B32</f>
        <v>4.569964950121326E-2</v>
      </c>
      <c r="K18" s="116">
        <f>'EGMA Gas H R4'!B38</f>
        <v>9.7189772010765854E-2</v>
      </c>
      <c r="L18" s="120">
        <f>K18-J18</f>
        <v>5.1490122509552594E-2</v>
      </c>
    </row>
    <row r="19" spans="2:12" x14ac:dyDescent="0.35">
      <c r="B19" s="52" t="s">
        <v>95</v>
      </c>
      <c r="C19" s="48">
        <f>'EGMA Gas NH R2'!I14</f>
        <v>0.9</v>
      </c>
      <c r="D19" s="132">
        <f>'EGMA Gas NH R2'!I15</f>
        <v>0.57499999999999996</v>
      </c>
      <c r="E19" s="47">
        <f>'EGMA Gas NH R2'!I19</f>
        <v>0.25</v>
      </c>
      <c r="F19" s="61">
        <f>'EGMA Gas NH R2'!P20/1000</f>
        <v>501.44937678000002</v>
      </c>
      <c r="G19" s="61">
        <f>'EGMA Gas NH R2'!O20/1000</f>
        <v>1137.0364618486501</v>
      </c>
      <c r="H19" s="61">
        <f>G19-F19</f>
        <v>635.58708506865014</v>
      </c>
      <c r="I19" s="109">
        <f>H19/F19</f>
        <v>1.2675000000000003</v>
      </c>
      <c r="J19" s="115">
        <f>'EGMA Gas NH R2'!B32</f>
        <v>4.2786823173040514E-2</v>
      </c>
      <c r="K19" s="116">
        <f>'EGMA Gas NH R2'!B38</f>
        <v>9.2028219676732609E-2</v>
      </c>
      <c r="L19" s="120">
        <f>K19-J19</f>
        <v>4.9241396503692095E-2</v>
      </c>
    </row>
    <row r="20" spans="2:12" ht="5.25" customHeight="1" x14ac:dyDescent="0.35">
      <c r="B20" s="57"/>
      <c r="C20" s="58"/>
      <c r="D20" s="58"/>
      <c r="E20" s="58"/>
      <c r="F20" s="53"/>
      <c r="G20" s="53"/>
      <c r="H20" s="53"/>
      <c r="I20" s="72"/>
      <c r="J20" s="58"/>
      <c r="K20" s="58"/>
      <c r="L20" s="121"/>
    </row>
    <row r="21" spans="2:12" x14ac:dyDescent="0.35">
      <c r="B21" s="54" t="s">
        <v>96</v>
      </c>
      <c r="C21" s="53"/>
      <c r="D21" s="53"/>
      <c r="E21" s="53"/>
      <c r="F21" s="53"/>
      <c r="G21" s="53"/>
      <c r="H21" s="53"/>
      <c r="I21" s="53"/>
      <c r="J21" s="53"/>
      <c r="K21" s="53"/>
      <c r="L21" s="122"/>
    </row>
    <row r="22" spans="2:12" x14ac:dyDescent="0.35">
      <c r="B22" s="52" t="s">
        <v>97</v>
      </c>
      <c r="C22" s="48">
        <f>'NGrid Gas BG H R4'!I14</f>
        <v>0.91</v>
      </c>
      <c r="D22" s="132">
        <f>'NGrid Gas BG H R4'!I15</f>
        <v>0.58000000000000007</v>
      </c>
      <c r="E22" s="47">
        <f>'NGrid Gas BG H R4'!I19</f>
        <v>0.25</v>
      </c>
      <c r="F22" s="61">
        <f>'NGrid Gas BG H R4'!P20/1000</f>
        <v>21823.452580800003</v>
      </c>
      <c r="G22" s="61">
        <f>'NGrid Gas BG H R4'!O20/1000</f>
        <v>49910.236052289605</v>
      </c>
      <c r="H22" s="61">
        <f>G22-F22</f>
        <v>28086.783471489602</v>
      </c>
      <c r="I22" s="109">
        <f>H22/F22</f>
        <v>1.2869999999999999</v>
      </c>
      <c r="J22" s="115">
        <f>'NGrid Gas BG H R4'!B32</f>
        <v>2.8019401130396443E-2</v>
      </c>
      <c r="K22" s="116">
        <f>'NGrid Gas BG H R4'!B38</f>
        <v>6.1849999456408448E-2</v>
      </c>
      <c r="L22" s="120">
        <f>K22-J22</f>
        <v>3.3830598326012006E-2</v>
      </c>
    </row>
    <row r="23" spans="2:12" x14ac:dyDescent="0.35">
      <c r="B23" s="52" t="s">
        <v>98</v>
      </c>
      <c r="C23" s="48">
        <f>'NGrid Gas BG NH R2'!I14</f>
        <v>0.92</v>
      </c>
      <c r="D23" s="132">
        <f>'NGrid Gas BG NH R2'!I15</f>
        <v>0.58499999999999996</v>
      </c>
      <c r="E23" s="47">
        <f>'NGrid Gas BG NH R2'!I19</f>
        <v>0.25</v>
      </c>
      <c r="F23" s="61">
        <f>'NGrid Gas BG NH R2'!P20/1000</f>
        <v>598.72488820023841</v>
      </c>
      <c r="G23" s="61">
        <f>'NGrid Gas BG NH R2'!O20/1000</f>
        <v>1380.9589546338505</v>
      </c>
      <c r="H23" s="61">
        <f>G23-F23</f>
        <v>782.23406643361204</v>
      </c>
      <c r="I23" s="109">
        <f>H23/F23</f>
        <v>1.3065000000000009</v>
      </c>
      <c r="J23" s="115">
        <f>'NGrid Gas BG NH R2'!B32</f>
        <v>2.3174087458144085E-2</v>
      </c>
      <c r="K23" s="116">
        <f>'NGrid Gas BG NH R2'!B38</f>
        <v>5.1880257020125387E-2</v>
      </c>
      <c r="L23" s="120">
        <f>K23-J23</f>
        <v>2.8706169561981302E-2</v>
      </c>
    </row>
    <row r="24" spans="2:12" x14ac:dyDescent="0.35">
      <c r="B24" s="52" t="s">
        <v>99</v>
      </c>
      <c r="C24" s="48">
        <f>'NGrid Gas CG H R4'!I14</f>
        <v>0.9</v>
      </c>
      <c r="D24" s="132">
        <f>'NGrid Gas CG H R4'!I15</f>
        <v>0.57499999999999996</v>
      </c>
      <c r="E24" s="47">
        <f>'NGrid Gas CG H R4'!I19</f>
        <v>0.25</v>
      </c>
      <c r="F24" s="61">
        <f>'NGrid Gas CG H R4'!P20/1000</f>
        <v>6735.4524669599996</v>
      </c>
      <c r="G24" s="61">
        <f>'NGrid Gas CG H R4'!O20/1000</f>
        <v>15272.638468831798</v>
      </c>
      <c r="H24" s="61">
        <f>G24-F24</f>
        <v>8537.186001871798</v>
      </c>
      <c r="I24" s="109">
        <f>H24/F24</f>
        <v>1.2674999999999998</v>
      </c>
      <c r="J24" s="115">
        <f>'NGrid Gas CG H R4'!B32</f>
        <v>2.9556025369978856E-2</v>
      </c>
      <c r="K24" s="116">
        <f>'NGrid Gas CG H R4'!B38</f>
        <v>6.4598289471391665E-2</v>
      </c>
      <c r="L24" s="120">
        <f>K24-J24</f>
        <v>3.5042264101412812E-2</v>
      </c>
    </row>
    <row r="25" spans="2:12" x14ac:dyDescent="0.35">
      <c r="B25" s="52" t="s">
        <v>100</v>
      </c>
      <c r="C25" s="48">
        <f>'NGrid Gas CG NH R2'!I14</f>
        <v>0.91</v>
      </c>
      <c r="D25" s="132">
        <f>'NGrid Gas CG NH R2'!I15</f>
        <v>0.58000000000000007</v>
      </c>
      <c r="E25" s="47">
        <f>'NGrid Gas CG NH R2'!I19</f>
        <v>0.25</v>
      </c>
      <c r="F25" s="61">
        <f>'NGrid Gas CG NH R2'!P20/1000</f>
        <v>283.47943580142299</v>
      </c>
      <c r="G25" s="61">
        <f>'NGrid Gas CG NH R2'!O20/1000</f>
        <v>648.31746967785443</v>
      </c>
      <c r="H25" s="61">
        <f>G25-F25</f>
        <v>364.83803387643144</v>
      </c>
      <c r="I25" s="109">
        <f>H25/F25</f>
        <v>1.2870000000000001</v>
      </c>
      <c r="J25" s="115">
        <f>'NGrid Gas CG NH R2'!B32</f>
        <v>2.3940815837243556E-2</v>
      </c>
      <c r="K25" s="116">
        <f>'NGrid Gas CG NH R2'!B38</f>
        <v>5.311604332354608E-2</v>
      </c>
      <c r="L25" s="120">
        <f>K25-J25</f>
        <v>2.9175227486302524E-2</v>
      </c>
    </row>
    <row r="26" spans="2:12" ht="5.25" customHeight="1" x14ac:dyDescent="0.35">
      <c r="B26" s="57"/>
      <c r="C26" s="58"/>
      <c r="D26" s="58"/>
      <c r="E26" s="58"/>
      <c r="F26" s="53"/>
      <c r="G26" s="53"/>
      <c r="H26" s="53"/>
      <c r="I26" s="72"/>
      <c r="J26" s="58"/>
      <c r="K26" s="58"/>
      <c r="L26" s="121"/>
    </row>
    <row r="27" spans="2:12" x14ac:dyDescent="0.35">
      <c r="B27" s="54" t="s">
        <v>101</v>
      </c>
      <c r="C27" s="53"/>
      <c r="D27" s="53"/>
      <c r="E27" s="53"/>
      <c r="F27" s="53"/>
      <c r="G27" s="53"/>
      <c r="H27" s="53"/>
      <c r="I27" s="53"/>
      <c r="J27" s="53"/>
      <c r="K27" s="53"/>
      <c r="L27" s="122"/>
    </row>
    <row r="28" spans="2:12" x14ac:dyDescent="0.35">
      <c r="B28" s="52" t="s">
        <v>102</v>
      </c>
      <c r="C28" s="48">
        <f>'FGE Gas H R4'!I14</f>
        <v>0.92</v>
      </c>
      <c r="D28" s="132">
        <f>'FGE Gas H R4'!I15</f>
        <v>0.58499999999999996</v>
      </c>
      <c r="E28" s="47">
        <f>'FGE Gas H R4'!I19</f>
        <v>0.25</v>
      </c>
      <c r="F28" s="124">
        <f>'FGE Gas H R4'!P20/1000</f>
        <v>2246.2669151999999</v>
      </c>
      <c r="G28" s="124">
        <f>'FGE Gas H R4'!O20/1000</f>
        <v>5181.0146399088007</v>
      </c>
      <c r="H28" s="124">
        <f>G28-F28</f>
        <v>2934.7477247088009</v>
      </c>
      <c r="I28" s="125">
        <f>H28/F28</f>
        <v>1.3065000000000004</v>
      </c>
      <c r="J28" s="126">
        <f>'FGE Gas H R4'!B32</f>
        <v>4.1963936301514189E-2</v>
      </c>
      <c r="K28" s="127">
        <f>'FGE Gas H R4'!B38</f>
        <v>9.1759048255947648E-2</v>
      </c>
      <c r="L28" s="120">
        <f>K28-J28</f>
        <v>4.9795111954433459E-2</v>
      </c>
    </row>
    <row r="29" spans="2:12" x14ac:dyDescent="0.35">
      <c r="B29" s="52" t="s">
        <v>227</v>
      </c>
      <c r="C29" s="48">
        <f>'FGE Gas NH R2'!I14</f>
        <v>0.94</v>
      </c>
      <c r="D29" s="132">
        <f>'FGE Gas NH R2'!I15</f>
        <v>0.59499999999999997</v>
      </c>
      <c r="E29" s="47">
        <f>'FGE Gas NH R2'!I19</f>
        <v>0.25</v>
      </c>
      <c r="F29" s="61">
        <f>'FGE Gas NH R2'!P20/1000</f>
        <v>126.47038404</v>
      </c>
      <c r="G29" s="61">
        <f>'FGE Gas NH R2'!O20/1000</f>
        <v>296.63628576581999</v>
      </c>
      <c r="H29" s="61">
        <f>G29-F29</f>
        <v>170.16590172581999</v>
      </c>
      <c r="I29" s="109">
        <f>H29/F29</f>
        <v>1.3454999999999999</v>
      </c>
      <c r="J29" s="115">
        <f>'FGE Gas NH R2'!B32</f>
        <v>4.1982893627273817E-2</v>
      </c>
      <c r="K29" s="116">
        <f>'FGE Gas NH R2'!B38</f>
        <v>9.3205865615389794E-2</v>
      </c>
      <c r="L29" s="120">
        <f>K29-J29</f>
        <v>5.1222971988115977E-2</v>
      </c>
    </row>
    <row r="30" spans="2:12" ht="5.25" customHeight="1" x14ac:dyDescent="0.35">
      <c r="B30" s="57"/>
      <c r="C30" s="58"/>
      <c r="D30" s="58"/>
      <c r="E30" s="58"/>
      <c r="F30" s="53"/>
      <c r="G30" s="53"/>
      <c r="H30" s="53"/>
      <c r="I30" s="58"/>
      <c r="J30" s="58"/>
      <c r="K30" s="58"/>
      <c r="L30" s="121"/>
    </row>
    <row r="31" spans="2:12" x14ac:dyDescent="0.35">
      <c r="B31" s="54" t="s">
        <v>103</v>
      </c>
      <c r="C31" s="53"/>
      <c r="D31" s="53"/>
      <c r="E31" s="53"/>
      <c r="F31" s="53"/>
      <c r="G31" s="53"/>
      <c r="H31" s="53"/>
      <c r="I31" s="53"/>
      <c r="J31" s="53"/>
      <c r="K31" s="53"/>
      <c r="L31" s="122"/>
    </row>
    <row r="32" spans="2:12" x14ac:dyDescent="0.35">
      <c r="B32" s="52" t="s">
        <v>104</v>
      </c>
      <c r="C32" s="48">
        <f>'BGC H R4'!I14</f>
        <v>0.86</v>
      </c>
      <c r="D32" s="132">
        <f>'BGC H R4'!I15</f>
        <v>0.55499999999999994</v>
      </c>
      <c r="E32" s="47">
        <f>'BGC H R4'!I19</f>
        <v>0.25</v>
      </c>
      <c r="F32" s="61">
        <f>'BGC H R4'!P20/1000</f>
        <v>2574.0807844499996</v>
      </c>
      <c r="G32" s="61">
        <f>'BGC H R4'!O20/1000</f>
        <v>5635.9498775532738</v>
      </c>
      <c r="H32" s="61">
        <f>G32-F32</f>
        <v>3061.8690931032743</v>
      </c>
      <c r="I32" s="109">
        <f>H32/F32</f>
        <v>1.1895</v>
      </c>
      <c r="J32" s="115">
        <f>'BGC H R4'!B32</f>
        <v>1.6666666666666666E-2</v>
      </c>
      <c r="K32" s="116">
        <f>'BGC H R4'!B38</f>
        <v>3.5782282908015259E-2</v>
      </c>
      <c r="L32" s="120">
        <f>K32-J32</f>
        <v>1.9115616241348592E-2</v>
      </c>
    </row>
    <row r="33" spans="2:12" x14ac:dyDescent="0.35">
      <c r="B33" s="52" t="s">
        <v>105</v>
      </c>
      <c r="C33" s="48">
        <f>'BGC NH R2'!I14</f>
        <v>0.9</v>
      </c>
      <c r="D33" s="132">
        <f>'BGC NH R2'!I15</f>
        <v>0.57499999999999996</v>
      </c>
      <c r="E33" s="47">
        <f>'BGC NH R2'!I19</f>
        <v>0.25</v>
      </c>
      <c r="F33" s="61">
        <f>'BGC NH R2'!P20/1000</f>
        <v>70.074552029999992</v>
      </c>
      <c r="G33" s="61">
        <f>'BGC NH R2'!O20/1000</f>
        <v>158.89404672802502</v>
      </c>
      <c r="H33" s="61">
        <f>G33-F33</f>
        <v>88.819494698025025</v>
      </c>
      <c r="I33" s="109">
        <f>H33/F33</f>
        <v>1.2675000000000005</v>
      </c>
      <c r="J33" s="115">
        <f>'BGC NH R2'!B32</f>
        <v>1.2739119538885641E-2</v>
      </c>
      <c r="K33" s="116">
        <f>'BGC NH R2'!B38</f>
        <v>2.8426948338040596E-2</v>
      </c>
      <c r="L33" s="120">
        <f>K33-J33</f>
        <v>1.5687828799154955E-2</v>
      </c>
    </row>
    <row r="34" spans="2:12" ht="5.25" customHeight="1" x14ac:dyDescent="0.35">
      <c r="B34" s="57"/>
      <c r="C34" s="58"/>
      <c r="D34" s="58"/>
      <c r="E34" s="58"/>
      <c r="F34" s="53"/>
      <c r="G34" s="53"/>
      <c r="H34" s="53"/>
      <c r="I34" s="58"/>
      <c r="J34" s="58"/>
      <c r="K34" s="58"/>
      <c r="L34" s="121"/>
    </row>
    <row r="35" spans="2:12" x14ac:dyDescent="0.35">
      <c r="B35" s="54" t="s">
        <v>106</v>
      </c>
      <c r="C35" s="53"/>
      <c r="D35" s="53"/>
      <c r="E35" s="53"/>
      <c r="F35" s="53"/>
      <c r="G35" s="53"/>
      <c r="H35" s="53"/>
      <c r="I35" s="53"/>
      <c r="J35" s="53"/>
      <c r="K35" s="53"/>
      <c r="L35" s="122"/>
    </row>
    <row r="36" spans="2:12" x14ac:dyDescent="0.35">
      <c r="B36" s="52" t="s">
        <v>107</v>
      </c>
      <c r="C36" s="48">
        <f>'LIB NEG H R4'!I14</f>
        <v>0.87</v>
      </c>
      <c r="D36" s="132">
        <f>'LIB NEG H R4'!I15</f>
        <v>0.56000000000000005</v>
      </c>
      <c r="E36" s="47">
        <f>'LIB NEG H R4'!I19</f>
        <v>0.25</v>
      </c>
      <c r="F36" s="61">
        <f>'LIB NEG H R4'!P20/1000</f>
        <v>2945.1285446400002</v>
      </c>
      <c r="G36" s="61">
        <f>'LIB NEG H R4'!O20/1000</f>
        <v>6505.7889551097605</v>
      </c>
      <c r="H36" s="61">
        <f>G36-F36</f>
        <v>3560.6604104697603</v>
      </c>
      <c r="I36" s="109">
        <f>H36/F36</f>
        <v>1.2090000000000001</v>
      </c>
      <c r="J36" s="115">
        <f>'LIB NEG H R4'!B32</f>
        <v>2.6949187409997945E-2</v>
      </c>
      <c r="K36" s="116">
        <f>'LIB NEG H R4'!B38</f>
        <v>5.7652351017924743E-2</v>
      </c>
      <c r="L36" s="120">
        <f>K36-J36</f>
        <v>3.0703163607926798E-2</v>
      </c>
    </row>
    <row r="37" spans="2:12" x14ac:dyDescent="0.35">
      <c r="B37" s="52" t="s">
        <v>108</v>
      </c>
      <c r="C37" s="48">
        <f>'LIB NEG NH R2'!I14</f>
        <v>0.89</v>
      </c>
      <c r="D37" s="132">
        <f>'LIB NEG NH R2'!I15</f>
        <v>0.57000000000000006</v>
      </c>
      <c r="E37" s="47">
        <f>'LIB NEG NH R2'!I19</f>
        <v>0.25</v>
      </c>
      <c r="F37" s="61">
        <f>'LIB NEG NH R2'!P20/1000</f>
        <v>19.754538000000004</v>
      </c>
      <c r="G37" s="61">
        <f>'LIB NEG NH R2'!O20/1000</f>
        <v>44.408201424000012</v>
      </c>
      <c r="H37" s="61">
        <f>G37-F37</f>
        <v>24.653663424000008</v>
      </c>
      <c r="I37" s="109">
        <f>H37/F37</f>
        <v>1.2480000000000002</v>
      </c>
      <c r="J37" s="115">
        <f>'LIB NEG NH R2'!B32</f>
        <v>2.6051506413443372E-2</v>
      </c>
      <c r="K37" s="116">
        <f>'LIB NEG NH R2'!B38</f>
        <v>5.6719699660322788E-2</v>
      </c>
      <c r="L37" s="120">
        <f>K37-J37</f>
        <v>3.0668193246879416E-2</v>
      </c>
    </row>
    <row r="38" spans="2:12" hidden="1" x14ac:dyDescent="0.35">
      <c r="B38" s="74" t="s">
        <v>109</v>
      </c>
      <c r="C38" s="75" t="e">
        <f>#REF!</f>
        <v>#REF!</v>
      </c>
      <c r="D38" s="48"/>
      <c r="E38" s="76" t="e">
        <f>#REF!</f>
        <v>#REF!</v>
      </c>
      <c r="F38" s="77" t="e">
        <f>#REF!/1000</f>
        <v>#REF!</v>
      </c>
      <c r="G38" s="77" t="e">
        <f>#REF!/1000</f>
        <v>#REF!</v>
      </c>
      <c r="H38" s="77" t="e">
        <f>G38-F38</f>
        <v>#REF!</v>
      </c>
      <c r="I38" s="78" t="e">
        <f>H38/F38</f>
        <v>#REF!</v>
      </c>
      <c r="J38" s="78"/>
      <c r="K38" s="78"/>
      <c r="L38" s="59" t="e">
        <f>#REF!</f>
        <v>#REF!</v>
      </c>
    </row>
    <row r="39" spans="2:12" ht="15" hidden="1" thickBot="1" x14ac:dyDescent="0.4">
      <c r="B39" s="79" t="s">
        <v>110</v>
      </c>
      <c r="C39" s="80" t="e">
        <f>#REF!</f>
        <v>#REF!</v>
      </c>
      <c r="D39" s="129"/>
      <c r="E39" s="81" t="e">
        <f>#REF!</f>
        <v>#REF!</v>
      </c>
      <c r="F39" s="82" t="e">
        <f>#REF!/1000</f>
        <v>#REF!</v>
      </c>
      <c r="G39" s="82" t="e">
        <f>#REF!/1000</f>
        <v>#REF!</v>
      </c>
      <c r="H39" s="82" t="e">
        <f>G39-F39</f>
        <v>#REF!</v>
      </c>
      <c r="I39" s="83" t="e">
        <f>H39/F39</f>
        <v>#REF!</v>
      </c>
      <c r="J39" s="83"/>
      <c r="K39" s="83"/>
      <c r="L39" s="60" t="e">
        <f>#REF!</f>
        <v>#REF!</v>
      </c>
    </row>
    <row r="40" spans="2:12" x14ac:dyDescent="0.35">
      <c r="C40" s="3"/>
      <c r="D40" s="3"/>
      <c r="E40" s="3"/>
    </row>
    <row r="41" spans="2:12" x14ac:dyDescent="0.35">
      <c r="B41" s="1" t="s">
        <v>111</v>
      </c>
    </row>
    <row r="42" spans="2:12" x14ac:dyDescent="0.35">
      <c r="B42" t="s">
        <v>112</v>
      </c>
      <c r="C42" s="37" t="s">
        <v>113</v>
      </c>
      <c r="D42" s="37"/>
    </row>
    <row r="43" spans="2:12" x14ac:dyDescent="0.35">
      <c r="B43" t="s">
        <v>114</v>
      </c>
      <c r="C43" s="37" t="s">
        <v>115</v>
      </c>
      <c r="D43" s="37"/>
    </row>
    <row r="44" spans="2:12" x14ac:dyDescent="0.35">
      <c r="B44" t="s">
        <v>116</v>
      </c>
      <c r="C44" t="s">
        <v>232</v>
      </c>
    </row>
    <row r="46" spans="2:12" x14ac:dyDescent="0.35">
      <c r="B46" s="1" t="s">
        <v>117</v>
      </c>
      <c r="F46"/>
      <c r="G46"/>
      <c r="H46"/>
    </row>
    <row r="47" spans="2:12" x14ac:dyDescent="0.35">
      <c r="B47" t="s">
        <v>118</v>
      </c>
      <c r="C47" t="s">
        <v>119</v>
      </c>
      <c r="F47"/>
      <c r="G47"/>
      <c r="H47"/>
    </row>
    <row r="48" spans="2:12" x14ac:dyDescent="0.35">
      <c r="B48" t="s">
        <v>120</v>
      </c>
      <c r="C48" t="s">
        <v>121</v>
      </c>
      <c r="F48"/>
      <c r="G48"/>
      <c r="H48"/>
    </row>
    <row r="49" spans="2:3" x14ac:dyDescent="0.35">
      <c r="B49" t="s">
        <v>122</v>
      </c>
      <c r="C49" t="s">
        <v>123</v>
      </c>
    </row>
    <row r="50" spans="2:3" x14ac:dyDescent="0.35">
      <c r="B50" t="s">
        <v>124</v>
      </c>
      <c r="C50" t="s">
        <v>125</v>
      </c>
    </row>
    <row r="51" spans="2:3" x14ac:dyDescent="0.35">
      <c r="B51" t="s">
        <v>126</v>
      </c>
    </row>
  </sheetData>
  <mergeCells count="3">
    <mergeCell ref="B1:L1"/>
    <mergeCell ref="B9:L9"/>
    <mergeCell ref="B14:L14"/>
  </mergeCells>
  <pageMargins left="0.7" right="0.7" top="0.75" bottom="0.75" header="0.3" footer="0.3"/>
  <pageSetup scale="72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23AAD2-4EBA-47DF-A72E-5EEC4200B999}">
          <x14:formula1>
            <xm:f>'FPL Limits'!$A$4:$A$23</xm:f>
          </x14:formula1>
          <xm:sqref>C5</xm:sqref>
        </x14:dataValidation>
        <x14:dataValidation type="list" allowBlank="1" showInputMessage="1" showErrorMessage="1" xr:uid="{5F9FD45F-1144-4C0B-B647-99911730CC5C}">
          <x14:formula1>
            <xm:f>Assumptions!$B$53:$B$57</xm:f>
          </x14:formula1>
          <xm:sqref>C3:D4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42D9B-37F2-4AF7-A46D-617A61497A39}">
  <sheetPr>
    <tabColor theme="5" tint="0.79998168889431442"/>
  </sheetPr>
  <dimension ref="A1:P46"/>
  <sheetViews>
    <sheetView zoomScale="90" zoomScaleNormal="90" workbookViewId="0">
      <selection activeCell="D14" sqref="D14"/>
    </sheetView>
  </sheetViews>
  <sheetFormatPr defaultRowHeight="14.5" x14ac:dyDescent="0.35"/>
  <cols>
    <col min="1" max="1" width="29.54296875" customWidth="1"/>
    <col min="2" max="2" width="13.26953125" customWidth="1"/>
    <col min="3" max="3" width="12.26953125" customWidth="1"/>
    <col min="4" max="4" width="11.453125" bestFit="1" customWidth="1"/>
    <col min="6" max="6" width="9.54296875" bestFit="1" customWidth="1"/>
    <col min="7" max="8" width="12.81640625" customWidth="1"/>
    <col min="9" max="9" width="11.26953125" customWidth="1"/>
    <col min="10" max="10" width="12.81640625" customWidth="1"/>
    <col min="11" max="11" width="10.7265625" customWidth="1"/>
    <col min="12" max="12" width="10.26953125" customWidth="1"/>
    <col min="14" max="14" width="15.1796875" customWidth="1"/>
    <col min="15" max="15" width="16.54296875" bestFit="1" customWidth="1"/>
  </cols>
  <sheetData>
    <row r="1" spans="1:15" x14ac:dyDescent="0.35">
      <c r="A1" s="24" t="s">
        <v>127</v>
      </c>
      <c r="C1" s="32"/>
    </row>
    <row r="3" spans="1:15" x14ac:dyDescent="0.35">
      <c r="A3" s="145" t="s">
        <v>128</v>
      </c>
    </row>
    <row r="4" spans="1:15" x14ac:dyDescent="0.35">
      <c r="A4" s="145" t="s">
        <v>129</v>
      </c>
      <c r="B4" s="176">
        <f>SUMMARY!C5</f>
        <v>2</v>
      </c>
      <c r="C4" s="145"/>
      <c r="D4" s="145"/>
    </row>
    <row r="5" spans="1:15" x14ac:dyDescent="0.35">
      <c r="A5" s="145" t="s">
        <v>130</v>
      </c>
      <c r="B5" s="176">
        <f>IF(SUMMARY!C4=Assumptions!B53,Assumptions!C17,(IF(SUMMARY!C4=Assumptions!B54,Assumptions!F17,(IF(SUMMARY!C4=Assumptions!B55,Assumptions!F18,(IF(SUMMARY!C4=Assumptions!B56,Assumptions!C19,(IF(SUMMARY!C4=Assumptions!B57,Assumptions!F19,Assumptions!F18)))))))))</f>
        <v>585</v>
      </c>
      <c r="C5" s="145" t="str">
        <f>SUMMARY!C4</f>
        <v>mean company</v>
      </c>
      <c r="D5" s="145"/>
    </row>
    <row r="6" spans="1:15" x14ac:dyDescent="0.35">
      <c r="A6" s="145" t="s">
        <v>131</v>
      </c>
      <c r="B6" s="146">
        <f>SUMMARY!L3</f>
        <v>0.02</v>
      </c>
      <c r="C6" s="145"/>
      <c r="D6" s="145"/>
    </row>
    <row r="8" spans="1:15" x14ac:dyDescent="0.35">
      <c r="A8" t="s">
        <v>132</v>
      </c>
    </row>
    <row r="9" spans="1:15" x14ac:dyDescent="0.35">
      <c r="A9" t="s">
        <v>133</v>
      </c>
    </row>
    <row r="10" spans="1:15" x14ac:dyDescent="0.35">
      <c r="A10" t="s">
        <v>134</v>
      </c>
    </row>
    <row r="11" spans="1:15" x14ac:dyDescent="0.35">
      <c r="A11" s="1"/>
    </row>
    <row r="13" spans="1:15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147</v>
      </c>
      <c r="N13" s="30" t="s">
        <v>148</v>
      </c>
      <c r="O13" s="30" t="s">
        <v>149</v>
      </c>
    </row>
    <row r="14" spans="1:15" x14ac:dyDescent="0.35">
      <c r="A14" s="9" t="s">
        <v>4</v>
      </c>
      <c r="B14" s="9">
        <f>Assumptions!$C$11*Assumptions!D2</f>
        <v>33429.760000000002</v>
      </c>
      <c r="C14" s="196">
        <f>VLOOKUP($B$4,'FPL Limits'!$J$3:$P$23,2,FALSE)</f>
        <v>10220</v>
      </c>
      <c r="D14" s="33">
        <f t="shared" ref="D14:D19" si="0">((M14*$D$30)+$D$26)*12</f>
        <v>2500.0958999999998</v>
      </c>
      <c r="E14" s="197">
        <f>D14/C14</f>
        <v>0.24462777886497061</v>
      </c>
      <c r="F14" s="197">
        <f>$B$6</f>
        <v>0.02</v>
      </c>
      <c r="G14" s="198">
        <f>C14*F14</f>
        <v>204.4</v>
      </c>
      <c r="H14" s="198">
        <f>IF(D14-G14&lt;0,0,D14-G14)</f>
        <v>2295.6958999999997</v>
      </c>
      <c r="I14" s="131">
        <f>MAX(ROUND(H14/D14,2),42%)</f>
        <v>0.92</v>
      </c>
      <c r="J14" s="198">
        <f>D14-(D14*I14)</f>
        <v>200.00767199999973</v>
      </c>
      <c r="K14" s="12">
        <f>J14/C14</f>
        <v>1.9570222309197624E-2</v>
      </c>
      <c r="L14" s="13">
        <f t="shared" ref="L14:L19" si="1">$B$4</f>
        <v>2</v>
      </c>
      <c r="M14" s="13">
        <f t="shared" ref="M14:M18" si="2">$B$5</f>
        <v>585</v>
      </c>
      <c r="N14" s="33">
        <f>B14*(D14-J14)</f>
        <v>76891397.440865293</v>
      </c>
      <c r="O14" s="33">
        <f>B14*D14*Assumptions!$E$11</f>
        <v>35102594.483873278</v>
      </c>
    </row>
    <row r="15" spans="1:15" x14ac:dyDescent="0.35">
      <c r="A15" s="9" t="s">
        <v>5</v>
      </c>
      <c r="B15" s="9">
        <f>Assumptions!$C$11*Assumptions!D3</f>
        <v>15171.967999999999</v>
      </c>
      <c r="C15" s="196">
        <f>VLOOKUP($B$4,'FPL Limits'!$J$3:$P$23,3,FALSE)</f>
        <v>22995</v>
      </c>
      <c r="D15" s="33">
        <f t="shared" si="0"/>
        <v>2500.0958999999998</v>
      </c>
      <c r="E15" s="197">
        <f t="shared" ref="E15:E19" si="3">D15/C15</f>
        <v>0.10872345727332028</v>
      </c>
      <c r="F15" s="197">
        <f>$B$6</f>
        <v>0.02</v>
      </c>
      <c r="G15" s="198">
        <f>C15*F15</f>
        <v>459.90000000000003</v>
      </c>
      <c r="H15" s="198">
        <f t="shared" ref="H15:H19" si="4">IF(D15-G15&lt;0,0,D15-G15)</f>
        <v>2040.1958999999997</v>
      </c>
      <c r="I15" s="131">
        <f>AVERAGE(I14,I19)</f>
        <v>0.67</v>
      </c>
      <c r="J15" s="198">
        <f t="shared" ref="J15:J18" si="5">D15-(D15*I15)</f>
        <v>825.03164699999979</v>
      </c>
      <c r="K15" s="12">
        <f t="shared" ref="K15:K19" si="6">J15/C15</f>
        <v>3.5878740900195688E-2</v>
      </c>
      <c r="L15" s="13">
        <f t="shared" si="1"/>
        <v>2</v>
      </c>
      <c r="M15" s="13">
        <f t="shared" si="2"/>
        <v>585</v>
      </c>
      <c r="N15" s="33">
        <f t="shared" ref="N15:N19" si="7">B15*(D15-J15)</f>
        <v>25414021.244459901</v>
      </c>
      <c r="O15" s="33">
        <f>B15*D15*Assumptions!$E$11</f>
        <v>15931177.496527102</v>
      </c>
    </row>
    <row r="16" spans="1:15" x14ac:dyDescent="0.35">
      <c r="A16" s="9" t="s">
        <v>6</v>
      </c>
      <c r="B16" s="9">
        <f>Assumptions!$C$11*Assumptions!D4</f>
        <v>15043.392000000002</v>
      </c>
      <c r="C16" s="196">
        <f>VLOOKUP($B$4,'FPL Limits'!$J$3:$P$23,4,FALSE)</f>
        <v>28105</v>
      </c>
      <c r="D16" s="33">
        <f t="shared" si="0"/>
        <v>2500.0958999999998</v>
      </c>
      <c r="E16" s="197">
        <f t="shared" si="3"/>
        <v>8.8955555950898407E-2</v>
      </c>
      <c r="F16" s="197">
        <f t="shared" ref="F16:F19" si="8">$B$6</f>
        <v>0.02</v>
      </c>
      <c r="G16" s="198">
        <f>C16*F16</f>
        <v>562.1</v>
      </c>
      <c r="H16" s="198">
        <f>IF(D16-G16&lt;0,0,D16-G16)</f>
        <v>1937.9958999999999</v>
      </c>
      <c r="I16" s="131">
        <f>I15</f>
        <v>0.67</v>
      </c>
      <c r="J16" s="198">
        <f t="shared" si="5"/>
        <v>825.03164699999979</v>
      </c>
      <c r="K16" s="12">
        <f t="shared" si="6"/>
        <v>2.9355333463796471E-2</v>
      </c>
      <c r="L16" s="13">
        <f t="shared" si="1"/>
        <v>2</v>
      </c>
      <c r="M16" s="13">
        <f t="shared" si="2"/>
        <v>585</v>
      </c>
      <c r="N16" s="33">
        <f t="shared" si="7"/>
        <v>25198648.183066178</v>
      </c>
      <c r="O16" s="33">
        <f>B16*D16*Assumptions!$E$11</f>
        <v>15796167.517742975</v>
      </c>
    </row>
    <row r="17" spans="1:16" x14ac:dyDescent="0.35">
      <c r="A17" s="9" t="s">
        <v>7</v>
      </c>
      <c r="B17" s="9">
        <f>Assumptions!$C$11*Assumptions!D5</f>
        <v>14786.24</v>
      </c>
      <c r="C17" s="196">
        <f>VLOOKUP($B$4,'FPL Limits'!$J$3:$P$23,5,FALSE)</f>
        <v>33215</v>
      </c>
      <c r="D17" s="33">
        <f t="shared" si="0"/>
        <v>2500.0958999999998</v>
      </c>
      <c r="E17" s="197">
        <f t="shared" si="3"/>
        <v>7.527008580460634E-2</v>
      </c>
      <c r="F17" s="197">
        <f t="shared" si="8"/>
        <v>0.02</v>
      </c>
      <c r="G17" s="198">
        <f t="shared" ref="G17:G19" si="9">C17*F17</f>
        <v>664.30000000000007</v>
      </c>
      <c r="H17" s="198">
        <f t="shared" si="4"/>
        <v>1835.7958999999996</v>
      </c>
      <c r="I17" s="131">
        <f>I15</f>
        <v>0.67</v>
      </c>
      <c r="J17" s="198">
        <f t="shared" si="5"/>
        <v>825.03164699999979</v>
      </c>
      <c r="K17" s="12">
        <f t="shared" si="6"/>
        <v>2.4839128315520091E-2</v>
      </c>
      <c r="L17" s="13">
        <f t="shared" si="1"/>
        <v>2</v>
      </c>
      <c r="M17" s="13">
        <f t="shared" si="2"/>
        <v>585</v>
      </c>
      <c r="N17" s="33">
        <f t="shared" si="7"/>
        <v>24767902.060278721</v>
      </c>
      <c r="O17" s="33">
        <f>B17*D17*Assumptions!$E$11</f>
        <v>15526147.560174718</v>
      </c>
    </row>
    <row r="18" spans="1:16" x14ac:dyDescent="0.35">
      <c r="A18" s="9" t="s">
        <v>150</v>
      </c>
      <c r="B18" s="9">
        <f>Assumptions!$C$11*Assumptions!D6</f>
        <v>13500.48</v>
      </c>
      <c r="C18" s="196">
        <f>VLOOKUP($B$4,'FPL Limits'!$J$3:$P$23,6,FALSE)</f>
        <v>38325</v>
      </c>
      <c r="D18" s="33">
        <f t="shared" si="0"/>
        <v>2500.0958999999998</v>
      </c>
      <c r="E18" s="197">
        <f t="shared" si="3"/>
        <v>6.5234074363992173E-2</v>
      </c>
      <c r="F18" s="197">
        <f t="shared" si="8"/>
        <v>0.02</v>
      </c>
      <c r="G18" s="198">
        <f t="shared" si="9"/>
        <v>766.5</v>
      </c>
      <c r="H18" s="198">
        <f t="shared" si="4"/>
        <v>1733.5958999999998</v>
      </c>
      <c r="I18" s="131">
        <f>I15</f>
        <v>0.67</v>
      </c>
      <c r="J18" s="198">
        <f t="shared" si="5"/>
        <v>825.03164699999979</v>
      </c>
      <c r="K18" s="12">
        <f t="shared" si="6"/>
        <v>2.152724454011741E-2</v>
      </c>
      <c r="L18" s="13">
        <f t="shared" si="1"/>
        <v>2</v>
      </c>
      <c r="M18" s="13">
        <f t="shared" si="2"/>
        <v>585</v>
      </c>
      <c r="N18" s="33">
        <f t="shared" si="7"/>
        <v>22614171.44634144</v>
      </c>
      <c r="O18" s="33">
        <f>B18*D18*Assumptions!$E$11</f>
        <v>14176047.772333438</v>
      </c>
    </row>
    <row r="19" spans="1:16" x14ac:dyDescent="0.35">
      <c r="A19" s="9" t="s">
        <v>9</v>
      </c>
      <c r="B19" s="9">
        <f>Assumptions!$C$11*Assumptions!D7</f>
        <v>36644.159999999996</v>
      </c>
      <c r="C19" s="196">
        <f>VLOOKUP($B$4,'FPL Limits'!$J$3:$P$23,7,FALSE)</f>
        <v>52606.5</v>
      </c>
      <c r="D19" s="33">
        <f t="shared" si="0"/>
        <v>2500.0958999999998</v>
      </c>
      <c r="E19" s="197">
        <f t="shared" si="3"/>
        <v>4.7524467508767924E-2</v>
      </c>
      <c r="F19" s="197">
        <f t="shared" si="8"/>
        <v>0.02</v>
      </c>
      <c r="G19" s="198">
        <f t="shared" si="9"/>
        <v>1052.1300000000001</v>
      </c>
      <c r="H19" s="198">
        <f t="shared" si="4"/>
        <v>1447.9658999999997</v>
      </c>
      <c r="I19" s="131">
        <v>0.42</v>
      </c>
      <c r="J19" s="198">
        <f>D19-(D19*I19)</f>
        <v>1450.0556219999999</v>
      </c>
      <c r="K19" s="12">
        <f t="shared" si="6"/>
        <v>2.7564191155085394E-2</v>
      </c>
      <c r="L19" s="13">
        <f t="shared" si="1"/>
        <v>2</v>
      </c>
      <c r="M19" s="13">
        <f>$B$5</f>
        <v>585</v>
      </c>
      <c r="N19" s="33">
        <f t="shared" si="7"/>
        <v>38477843.953476474</v>
      </c>
      <c r="O19" s="33">
        <f>B19*D19*Assumptions!$E$11</f>
        <v>38477843.953476474</v>
      </c>
    </row>
    <row r="20" spans="1:16" x14ac:dyDescent="0.3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37" t="s">
        <v>151</v>
      </c>
      <c r="N20" s="139">
        <f>SUM(N14:N19)</f>
        <v>213363984.32848799</v>
      </c>
      <c r="O20" s="138">
        <f>SUM(O14:O19)</f>
        <v>135009978.78412801</v>
      </c>
    </row>
    <row r="21" spans="1:16" x14ac:dyDescent="0.35">
      <c r="N21" s="107" t="s">
        <v>169</v>
      </c>
      <c r="O21" s="139">
        <f>N20-O20</f>
        <v>78354005.544359982</v>
      </c>
      <c r="P21" s="136">
        <f>O21/O20</f>
        <v>0.58035714285714268</v>
      </c>
    </row>
    <row r="23" spans="1:16" x14ac:dyDescent="0.35">
      <c r="A23" s="7" t="s">
        <v>132</v>
      </c>
    </row>
    <row r="25" spans="1:16" x14ac:dyDescent="0.35">
      <c r="A25" s="1" t="s">
        <v>152</v>
      </c>
      <c r="B25" s="43">
        <v>45474</v>
      </c>
      <c r="C25" s="43">
        <v>45658</v>
      </c>
      <c r="D25" s="8" t="s">
        <v>153</v>
      </c>
    </row>
    <row r="26" spans="1:16" x14ac:dyDescent="0.35">
      <c r="A26" t="s">
        <v>154</v>
      </c>
      <c r="B26" s="41">
        <v>10</v>
      </c>
      <c r="C26" s="41">
        <v>10</v>
      </c>
      <c r="D26" s="14">
        <f>AVERAGE(B26:C26)</f>
        <v>10</v>
      </c>
    </row>
    <row r="27" spans="1:16" x14ac:dyDescent="0.35">
      <c r="A27" t="s">
        <v>155</v>
      </c>
      <c r="B27" s="19">
        <v>8.1600000000000006E-3</v>
      </c>
      <c r="C27" s="19">
        <v>1.047E-2</v>
      </c>
      <c r="D27" s="19">
        <f>AVERAGE(B27:C27)</f>
        <v>9.3150000000000004E-3</v>
      </c>
      <c r="F27" s="19"/>
    </row>
    <row r="28" spans="1:16" x14ac:dyDescent="0.35">
      <c r="A28" t="s">
        <v>156</v>
      </c>
      <c r="B28" s="42">
        <f>0.17562-B27</f>
        <v>0.16746</v>
      </c>
      <c r="C28" s="42">
        <f>0.19122-C27</f>
        <v>0.18074999999999999</v>
      </c>
      <c r="D28" s="19">
        <f>AVERAGE(B28:C28)</f>
        <v>0.17410500000000001</v>
      </c>
    </row>
    <row r="29" spans="1:16" ht="16" x14ac:dyDescent="0.5">
      <c r="A29" s="20" t="s">
        <v>157</v>
      </c>
      <c r="B29" s="44">
        <v>0.17216000000000001</v>
      </c>
      <c r="C29" s="44">
        <v>0.15772</v>
      </c>
      <c r="D29" s="22">
        <f t="shared" ref="D29" si="10">AVERAGE(B29:C29)</f>
        <v>0.16494</v>
      </c>
      <c r="O29" s="62"/>
    </row>
    <row r="30" spans="1:16" x14ac:dyDescent="0.35">
      <c r="A30" t="s">
        <v>158</v>
      </c>
      <c r="B30" s="23">
        <f>B31-B27</f>
        <v>0.33961999999999998</v>
      </c>
      <c r="C30" s="23">
        <f>C31-C27</f>
        <v>0.33847000000000005</v>
      </c>
      <c r="D30" s="18">
        <f>D31-D27</f>
        <v>0.33904499999999999</v>
      </c>
      <c r="F30" s="117"/>
    </row>
    <row r="31" spans="1:16" x14ac:dyDescent="0.35">
      <c r="A31" t="s">
        <v>159</v>
      </c>
      <c r="B31" s="23">
        <f>SUM(B27:B29)</f>
        <v>0.34777999999999998</v>
      </c>
      <c r="C31" s="23">
        <f>SUM(C27:C29)</f>
        <v>0.34894000000000003</v>
      </c>
      <c r="D31" s="18">
        <f>SUM(D27:D29)</f>
        <v>0.34836</v>
      </c>
      <c r="F31" s="6"/>
    </row>
    <row r="32" spans="1:16" x14ac:dyDescent="0.35">
      <c r="A32" t="s">
        <v>160</v>
      </c>
      <c r="B32" s="62">
        <f>B27/B31</f>
        <v>2.3463108861924209E-2</v>
      </c>
      <c r="C32" s="62">
        <f>C27/C31</f>
        <v>3.0005158479967899E-2</v>
      </c>
      <c r="D32" s="62">
        <f>D27/D31</f>
        <v>2.6739579745091287E-2</v>
      </c>
      <c r="E32" s="63"/>
    </row>
    <row r="33" spans="1:11" x14ac:dyDescent="0.35">
      <c r="B33" s="62"/>
      <c r="C33" s="62"/>
      <c r="D33" s="62"/>
      <c r="E33" s="63"/>
    </row>
    <row r="34" spans="1:11" x14ac:dyDescent="0.35">
      <c r="A34" t="s">
        <v>161</v>
      </c>
    </row>
    <row r="35" spans="1:11" x14ac:dyDescent="0.35">
      <c r="A35" t="s">
        <v>162</v>
      </c>
      <c r="B35" s="19">
        <f>B27+(B27*P21)</f>
        <v>1.2895714285714285E-2</v>
      </c>
      <c r="C35" s="19">
        <f>C27+(C27*P21)</f>
        <v>1.6546339285714286E-2</v>
      </c>
      <c r="D35" s="19">
        <f>D27+(D27*P21)</f>
        <v>1.4721026785714283E-2</v>
      </c>
      <c r="E35" s="19"/>
    </row>
    <row r="36" spans="1:11" x14ac:dyDescent="0.35">
      <c r="A36" t="s">
        <v>158</v>
      </c>
      <c r="B36" s="85">
        <f>B30</f>
        <v>0.33961999999999998</v>
      </c>
      <c r="C36" s="85">
        <f>C30</f>
        <v>0.33847000000000005</v>
      </c>
      <c r="D36" s="85">
        <f>D30</f>
        <v>0.33904499999999999</v>
      </c>
      <c r="F36" s="6"/>
    </row>
    <row r="37" spans="1:11" x14ac:dyDescent="0.35">
      <c r="A37" t="s">
        <v>163</v>
      </c>
      <c r="B37" s="19">
        <f>SUM(B35:B36)</f>
        <v>0.35251571428571427</v>
      </c>
      <c r="C37" s="19">
        <f>SUM(C35:C36)</f>
        <v>0.35501633928571436</v>
      </c>
      <c r="D37" s="19">
        <f>SUM(D35:D36)</f>
        <v>0.35376602678571428</v>
      </c>
      <c r="F37" s="6"/>
    </row>
    <row r="38" spans="1:11" x14ac:dyDescent="0.35">
      <c r="A38" t="s">
        <v>164</v>
      </c>
      <c r="B38" s="62">
        <f>B35/B37</f>
        <v>3.6581955819598722E-2</v>
      </c>
      <c r="C38" s="62">
        <f>C35/C37</f>
        <v>4.6607261285509231E-2</v>
      </c>
      <c r="D38" s="86">
        <f>D35/D37</f>
        <v>4.1612324731880514E-2</v>
      </c>
    </row>
    <row r="39" spans="1:11" x14ac:dyDescent="0.35">
      <c r="F39" s="62"/>
    </row>
    <row r="40" spans="1:11" x14ac:dyDescent="0.35">
      <c r="J40" s="16"/>
      <c r="K40" s="16"/>
    </row>
    <row r="41" spans="1:11" x14ac:dyDescent="0.35">
      <c r="J41" s="16"/>
      <c r="K41" s="16"/>
    </row>
    <row r="42" spans="1:11" x14ac:dyDescent="0.35">
      <c r="J42" s="16"/>
      <c r="K42" s="16"/>
    </row>
    <row r="43" spans="1:11" x14ac:dyDescent="0.35">
      <c r="J43" s="16"/>
      <c r="K43" s="16"/>
    </row>
    <row r="44" spans="1:11" x14ac:dyDescent="0.35">
      <c r="J44" s="16"/>
      <c r="K44" s="16"/>
    </row>
    <row r="45" spans="1:11" x14ac:dyDescent="0.35">
      <c r="J45" s="16"/>
      <c r="K45" s="16"/>
    </row>
    <row r="46" spans="1:11" x14ac:dyDescent="0.35">
      <c r="J46" s="16"/>
      <c r="K46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85570-A968-4471-BF70-8098BC1EFF0C}">
  <sheetPr>
    <tabColor theme="5" tint="-0.249977111117893"/>
  </sheetPr>
  <dimension ref="A1:P45"/>
  <sheetViews>
    <sheetView zoomScaleNormal="100" workbookViewId="0">
      <selection activeCell="K14" sqref="K14:K19"/>
    </sheetView>
  </sheetViews>
  <sheetFormatPr defaultRowHeight="14.5" x14ac:dyDescent="0.35"/>
  <cols>
    <col min="1" max="1" width="31.1796875" bestFit="1" customWidth="1"/>
    <col min="2" max="2" width="13.1796875" customWidth="1"/>
    <col min="3" max="3" width="11.26953125" bestFit="1" customWidth="1"/>
    <col min="4" max="4" width="11.453125" bestFit="1" customWidth="1"/>
    <col min="5" max="5" width="7.7265625" bestFit="1" customWidth="1"/>
    <col min="7" max="7" width="13.1796875" customWidth="1"/>
    <col min="8" max="11" width="12.81640625" customWidth="1"/>
    <col min="14" max="14" width="14.7265625" customWidth="1"/>
    <col min="15" max="15" width="11.7265625" bestFit="1" customWidth="1"/>
  </cols>
  <sheetData>
    <row r="1" spans="1:15" x14ac:dyDescent="0.35">
      <c r="A1" s="24" t="s">
        <v>165</v>
      </c>
    </row>
    <row r="3" spans="1:15" x14ac:dyDescent="0.35">
      <c r="A3" s="145" t="s">
        <v>128</v>
      </c>
    </row>
    <row r="4" spans="1:15" x14ac:dyDescent="0.35">
      <c r="A4" s="145" t="s">
        <v>129</v>
      </c>
      <c r="B4" s="176">
        <f>SUMMARY!C5</f>
        <v>2</v>
      </c>
      <c r="C4" s="145"/>
      <c r="D4" s="145"/>
    </row>
    <row r="5" spans="1:15" x14ac:dyDescent="0.35">
      <c r="A5" s="145" t="s">
        <v>130</v>
      </c>
      <c r="B5" s="176">
        <f>IF(SUMMARY!C4=Assumptions!B53,Assumptions!E17,(IF(SUMMARY!C4=Assumptions!B54,Assumptions!F17,(IF(SUMMARY!C4=Assumptions!B55,Assumptions!F18,(IF(SUMMARY!C4=Assumptions!B56,Assumptions!E19,(IF(SUMMARY!C4=Assumptions!B57,Assumptions!F19,Assumptions!F18)))))))))</f>
        <v>519</v>
      </c>
      <c r="C5" s="145" t="str">
        <f>SUMMARY!C3</f>
        <v>mean company</v>
      </c>
      <c r="D5" s="145"/>
    </row>
    <row r="6" spans="1:15" x14ac:dyDescent="0.35">
      <c r="A6" s="145" t="s">
        <v>131</v>
      </c>
      <c r="B6" s="146">
        <f>SUMMARY!L3</f>
        <v>0.02</v>
      </c>
      <c r="C6" s="145"/>
      <c r="D6" s="145"/>
    </row>
    <row r="8" spans="1:15" x14ac:dyDescent="0.35">
      <c r="A8" t="s">
        <v>166</v>
      </c>
    </row>
    <row r="9" spans="1:15" x14ac:dyDescent="0.35">
      <c r="A9" t="s">
        <v>167</v>
      </c>
    </row>
    <row r="10" spans="1:15" x14ac:dyDescent="0.35">
      <c r="A10" t="s">
        <v>134</v>
      </c>
    </row>
    <row r="11" spans="1:15" x14ac:dyDescent="0.35">
      <c r="A11" s="1"/>
    </row>
    <row r="12" spans="1:15" x14ac:dyDescent="0.35">
      <c r="A12" s="1"/>
    </row>
    <row r="13" spans="1:15" ht="72.5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147</v>
      </c>
      <c r="N13" s="30" t="s">
        <v>168</v>
      </c>
      <c r="O13" s="30" t="s">
        <v>149</v>
      </c>
    </row>
    <row r="14" spans="1:15" x14ac:dyDescent="0.35">
      <c r="A14" s="9" t="s">
        <v>4</v>
      </c>
      <c r="B14" s="9">
        <f>Assumptions!$C$13*Assumptions!D2</f>
        <v>1819.74</v>
      </c>
      <c r="C14" s="199">
        <f>VLOOKUP($B$4,'FPL Limits'!$J$3:$P$23,2,FALSE)</f>
        <v>10220</v>
      </c>
      <c r="D14" s="199">
        <f t="shared" ref="D14:D19" si="0">((M14*$D$30)+$D$26)*12</f>
        <v>2758.5222600000002</v>
      </c>
      <c r="E14" s="197">
        <f>D14/C14</f>
        <v>0.26991411545988259</v>
      </c>
      <c r="F14" s="197">
        <f t="shared" ref="F14:F19" si="1">$B$6</f>
        <v>0.02</v>
      </c>
      <c r="G14" s="198">
        <f>C14*F14</f>
        <v>204.4</v>
      </c>
      <c r="H14" s="198">
        <f>IF(D14-G14&lt;0,0,D14-G14)</f>
        <v>2554.1222600000001</v>
      </c>
      <c r="I14" s="131">
        <f>MAX(ROUND(H14/D14,2),40%)</f>
        <v>0.93</v>
      </c>
      <c r="J14" s="198">
        <f>D14-(D14*I14)</f>
        <v>193.09655819999989</v>
      </c>
      <c r="K14" s="12">
        <f>J14/C14</f>
        <v>1.8893988082191771E-2</v>
      </c>
      <c r="L14" s="13">
        <f t="shared" ref="L14:L19" si="2">$B$4</f>
        <v>2</v>
      </c>
      <c r="M14" s="13">
        <f t="shared" ref="M14:M19" si="3">$B$5</f>
        <v>519</v>
      </c>
      <c r="N14" s="33">
        <f>B14*(D14-J14)</f>
        <v>4668407.7665935326</v>
      </c>
      <c r="O14" s="33">
        <f>B14*D14*Assumptions!$E$11</f>
        <v>2108313.1849132078</v>
      </c>
    </row>
    <row r="15" spans="1:15" x14ac:dyDescent="0.35">
      <c r="A15" s="9" t="s">
        <v>5</v>
      </c>
      <c r="B15" s="9">
        <f>Assumptions!$C$13*Assumptions!D3</f>
        <v>825.88199999999995</v>
      </c>
      <c r="C15" s="199">
        <f>VLOOKUP($B$4,'FPL Limits'!$J$3:$P$23,3,FALSE)</f>
        <v>22995</v>
      </c>
      <c r="D15" s="199">
        <f t="shared" si="0"/>
        <v>2758.5222600000002</v>
      </c>
      <c r="E15" s="197">
        <f t="shared" ref="E15:E19" si="4">D15/C15</f>
        <v>0.11996182909328115</v>
      </c>
      <c r="F15" s="197">
        <f t="shared" si="1"/>
        <v>0.02</v>
      </c>
      <c r="G15" s="198">
        <f t="shared" ref="G15:G19" si="5">C15*F15</f>
        <v>459.90000000000003</v>
      </c>
      <c r="H15" s="198">
        <f t="shared" ref="H15:H19" si="6">IF(D15-G15&lt;0,0,D15-G15)</f>
        <v>2298.6222600000001</v>
      </c>
      <c r="I15" s="131">
        <f>AVERAGE(I14,I19)</f>
        <v>0.66500000000000004</v>
      </c>
      <c r="J15" s="198">
        <f t="shared" ref="J15:J19" si="7">D15-(D15*I15)</f>
        <v>924.10495709999987</v>
      </c>
      <c r="K15" s="12">
        <f t="shared" ref="K15:K19" si="8">J15/C15</f>
        <v>4.018721274624918E-2</v>
      </c>
      <c r="L15" s="13">
        <f t="shared" si="2"/>
        <v>2</v>
      </c>
      <c r="M15" s="13">
        <f t="shared" si="3"/>
        <v>519</v>
      </c>
      <c r="N15" s="33">
        <f t="shared" ref="N15:N19" si="9">B15*(D15-J15)</f>
        <v>1515012.230953658</v>
      </c>
      <c r="O15" s="33">
        <f>B15*D15*Assumptions!$E$11</f>
        <v>956849.83007599425</v>
      </c>
    </row>
    <row r="16" spans="1:15" x14ac:dyDescent="0.35">
      <c r="A16" s="9" t="s">
        <v>6</v>
      </c>
      <c r="B16" s="9">
        <f>Assumptions!$C$13*Assumptions!D4</f>
        <v>818.88300000000004</v>
      </c>
      <c r="C16" s="199">
        <f>VLOOKUP($B$4,'FPL Limits'!$J$3:$P$23,4,FALSE)</f>
        <v>28105</v>
      </c>
      <c r="D16" s="199">
        <f t="shared" si="0"/>
        <v>2758.5222600000002</v>
      </c>
      <c r="E16" s="197">
        <f t="shared" si="4"/>
        <v>9.8150587439957304E-2</v>
      </c>
      <c r="F16" s="197">
        <f t="shared" si="1"/>
        <v>0.02</v>
      </c>
      <c r="G16" s="198">
        <f t="shared" si="5"/>
        <v>562.1</v>
      </c>
      <c r="H16" s="198">
        <f t="shared" si="6"/>
        <v>2196.4222600000003</v>
      </c>
      <c r="I16" s="131">
        <f>I15</f>
        <v>0.66500000000000004</v>
      </c>
      <c r="J16" s="198">
        <f t="shared" si="7"/>
        <v>924.10495709999987</v>
      </c>
      <c r="K16" s="12">
        <f t="shared" si="8"/>
        <v>3.2880446792385692E-2</v>
      </c>
      <c r="L16" s="13">
        <f t="shared" si="2"/>
        <v>2</v>
      </c>
      <c r="M16" s="13">
        <f t="shared" si="3"/>
        <v>519</v>
      </c>
      <c r="N16" s="33">
        <f t="shared" si="9"/>
        <v>1502173.1442506611</v>
      </c>
      <c r="O16" s="33">
        <f>B16*D16*Assumptions!$E$11</f>
        <v>948740.93321094371</v>
      </c>
    </row>
    <row r="17" spans="1:16" x14ac:dyDescent="0.35">
      <c r="A17" s="9" t="s">
        <v>7</v>
      </c>
      <c r="B17" s="9">
        <f>Assumptions!$C$13*Assumptions!D5</f>
        <v>804.88499999999999</v>
      </c>
      <c r="C17" s="199">
        <f>VLOOKUP($B$4,'FPL Limits'!$J$3:$P$23,5,FALSE)</f>
        <v>33215</v>
      </c>
      <c r="D17" s="199">
        <f t="shared" si="0"/>
        <v>2758.5222600000002</v>
      </c>
      <c r="E17" s="197">
        <f t="shared" si="4"/>
        <v>8.305049706457926E-2</v>
      </c>
      <c r="F17" s="197">
        <f t="shared" si="1"/>
        <v>0.02</v>
      </c>
      <c r="G17" s="198">
        <f t="shared" si="5"/>
        <v>664.30000000000007</v>
      </c>
      <c r="H17" s="198">
        <f t="shared" si="6"/>
        <v>2094.22226</v>
      </c>
      <c r="I17" s="131">
        <f>I15</f>
        <v>0.66500000000000004</v>
      </c>
      <c r="J17" s="198">
        <f t="shared" si="7"/>
        <v>924.10495709999987</v>
      </c>
      <c r="K17" s="12">
        <f t="shared" si="8"/>
        <v>2.7821916516634047E-2</v>
      </c>
      <c r="L17" s="13">
        <f t="shared" si="2"/>
        <v>2</v>
      </c>
      <c r="M17" s="13">
        <f t="shared" si="3"/>
        <v>519</v>
      </c>
      <c r="N17" s="33">
        <f t="shared" si="9"/>
        <v>1476494.9708446667</v>
      </c>
      <c r="O17" s="33">
        <f>B17*D17*Assumptions!$E$11</f>
        <v>932523.13948084216</v>
      </c>
    </row>
    <row r="18" spans="1:16" x14ac:dyDescent="0.35">
      <c r="A18" s="9" t="s">
        <v>150</v>
      </c>
      <c r="B18" s="9">
        <f>Assumptions!$C$13*Assumptions!D6</f>
        <v>734.89499999999998</v>
      </c>
      <c r="C18" s="199">
        <f>VLOOKUP($B$4,'FPL Limits'!$J$3:$P$23,6,FALSE)</f>
        <v>38325</v>
      </c>
      <c r="D18" s="199">
        <f t="shared" si="0"/>
        <v>2758.5222600000002</v>
      </c>
      <c r="E18" s="197">
        <f t="shared" si="4"/>
        <v>7.1977097455968697E-2</v>
      </c>
      <c r="F18" s="197">
        <f t="shared" si="1"/>
        <v>0.02</v>
      </c>
      <c r="G18" s="198">
        <f t="shared" si="5"/>
        <v>766.5</v>
      </c>
      <c r="H18" s="198">
        <f t="shared" si="6"/>
        <v>1992.0222600000002</v>
      </c>
      <c r="I18" s="131">
        <f>I15</f>
        <v>0.66500000000000004</v>
      </c>
      <c r="J18" s="198">
        <f t="shared" si="7"/>
        <v>924.10495709999987</v>
      </c>
      <c r="K18" s="12">
        <f t="shared" si="8"/>
        <v>2.4112327647749506E-2</v>
      </c>
      <c r="L18" s="13">
        <f t="shared" si="2"/>
        <v>2</v>
      </c>
      <c r="M18" s="13">
        <f t="shared" si="3"/>
        <v>519</v>
      </c>
      <c r="N18" s="33">
        <f t="shared" si="9"/>
        <v>1348104.1038146957</v>
      </c>
      <c r="O18" s="33">
        <f>B18*D18*Assumptions!$E$11</f>
        <v>851434.17083033395</v>
      </c>
    </row>
    <row r="19" spans="1:16" x14ac:dyDescent="0.35">
      <c r="A19" s="9" t="s">
        <v>9</v>
      </c>
      <c r="B19" s="9">
        <f>Assumptions!$C$13*Assumptions!D7</f>
        <v>1994.7149999999999</v>
      </c>
      <c r="C19" s="199">
        <f>VLOOKUP($B$4,'FPL Limits'!$J$3:$P$23,7,FALSE)</f>
        <v>52606.5</v>
      </c>
      <c r="D19" s="199">
        <f t="shared" si="0"/>
        <v>2758.5222600000002</v>
      </c>
      <c r="E19" s="197">
        <f t="shared" si="4"/>
        <v>5.2436909127199116E-2</v>
      </c>
      <c r="F19" s="197">
        <f t="shared" si="1"/>
        <v>0.02</v>
      </c>
      <c r="G19" s="198">
        <f t="shared" si="5"/>
        <v>1052.1300000000001</v>
      </c>
      <c r="H19" s="198">
        <f t="shared" si="6"/>
        <v>1706.3922600000001</v>
      </c>
      <c r="I19" s="131">
        <v>0.4</v>
      </c>
      <c r="J19" s="198">
        <f t="shared" si="7"/>
        <v>1655.1133560000001</v>
      </c>
      <c r="K19" s="12">
        <f t="shared" si="8"/>
        <v>3.1462145476319467E-2</v>
      </c>
      <c r="L19" s="13">
        <f t="shared" si="2"/>
        <v>2</v>
      </c>
      <c r="M19" s="140">
        <f t="shared" si="3"/>
        <v>519</v>
      </c>
      <c r="N19" s="141">
        <f t="shared" si="9"/>
        <v>2200986.2919423603</v>
      </c>
      <c r="O19" s="141">
        <f>B19*D19*Assumptions!$E$11</f>
        <v>2311035.6065394776</v>
      </c>
    </row>
    <row r="20" spans="1:16" x14ac:dyDescent="0.35">
      <c r="C20" s="15"/>
      <c r="D20" s="15"/>
      <c r="E20" s="63"/>
      <c r="F20" s="15"/>
      <c r="G20" s="15"/>
      <c r="H20" s="15"/>
      <c r="I20" s="15"/>
      <c r="J20" s="15"/>
      <c r="K20" s="15"/>
      <c r="L20" s="15"/>
      <c r="M20" s="11" t="s">
        <v>151</v>
      </c>
      <c r="N20" s="139">
        <f>SUM(N14:N19)</f>
        <v>12711178.508399574</v>
      </c>
      <c r="O20" s="139">
        <f>SUM(O14:O19)</f>
        <v>8108896.8650507992</v>
      </c>
    </row>
    <row r="21" spans="1:16" x14ac:dyDescent="0.35">
      <c r="N21" s="142" t="s">
        <v>169</v>
      </c>
      <c r="O21" s="139">
        <f>N20-O20</f>
        <v>4602281.6433487749</v>
      </c>
      <c r="P21" s="143">
        <f>O21/O20</f>
        <v>0.56755952380952412</v>
      </c>
    </row>
    <row r="23" spans="1:16" x14ac:dyDescent="0.35">
      <c r="A23" s="7" t="s">
        <v>170</v>
      </c>
    </row>
    <row r="25" spans="1:16" x14ac:dyDescent="0.35">
      <c r="A25" s="1" t="s">
        <v>171</v>
      </c>
      <c r="B25" s="43">
        <v>45474</v>
      </c>
      <c r="C25" s="43">
        <v>45658</v>
      </c>
      <c r="D25" s="8" t="s">
        <v>153</v>
      </c>
    </row>
    <row r="26" spans="1:16" x14ac:dyDescent="0.35">
      <c r="A26" t="s">
        <v>154</v>
      </c>
      <c r="B26" s="17">
        <v>8.5</v>
      </c>
      <c r="C26" s="17">
        <v>8.5</v>
      </c>
      <c r="D26" s="14">
        <f>AVERAGE(B26:C26)</f>
        <v>8.5</v>
      </c>
      <c r="G26" s="1"/>
      <c r="H26" s="43"/>
      <c r="I26" s="43"/>
      <c r="J26" s="8"/>
    </row>
    <row r="27" spans="1:16" x14ac:dyDescent="0.35">
      <c r="A27" t="s">
        <v>155</v>
      </c>
      <c r="B27" s="19">
        <v>3.0620000000000001E-2</v>
      </c>
      <c r="C27" s="19">
        <v>2.5270000000000001E-2</v>
      </c>
      <c r="D27" s="19">
        <f>AVERAGE(B27:C27)</f>
        <v>2.7945000000000001E-2</v>
      </c>
      <c r="H27" s="95"/>
      <c r="I27" s="95"/>
      <c r="J27" s="36"/>
    </row>
    <row r="28" spans="1:16" x14ac:dyDescent="0.35">
      <c r="A28" t="s">
        <v>172</v>
      </c>
      <c r="B28" s="18">
        <v>0.22701000000000002</v>
      </c>
      <c r="C28" s="18">
        <v>0.23965999999999998</v>
      </c>
      <c r="D28" s="19">
        <f>AVERAGE(B28:C28)</f>
        <v>0.23333500000000001</v>
      </c>
      <c r="H28" s="19"/>
      <c r="I28" s="19"/>
      <c r="J28" s="19"/>
    </row>
    <row r="29" spans="1:16" ht="16" x14ac:dyDescent="0.5">
      <c r="A29" s="20" t="s">
        <v>157</v>
      </c>
      <c r="B29" s="21">
        <v>0.19338</v>
      </c>
      <c r="C29" s="21">
        <v>0.19303999999999999</v>
      </c>
      <c r="D29" s="22">
        <f>AVERAGE(B29:C29)</f>
        <v>0.19320999999999999</v>
      </c>
      <c r="H29" s="42"/>
      <c r="I29" s="42"/>
      <c r="J29" s="19"/>
    </row>
    <row r="30" spans="1:16" ht="16" x14ac:dyDescent="0.5">
      <c r="A30" t="s">
        <v>158</v>
      </c>
      <c r="B30" s="23">
        <f>B28+B29</f>
        <v>0.42039000000000004</v>
      </c>
      <c r="C30" s="23">
        <f>C28+C29</f>
        <v>0.43269999999999997</v>
      </c>
      <c r="D30" s="19">
        <f>AVERAGE(B30:C30)</f>
        <v>0.42654500000000001</v>
      </c>
      <c r="G30" s="20"/>
      <c r="H30" s="96"/>
      <c r="I30" s="96"/>
      <c r="J30" s="22"/>
    </row>
    <row r="31" spans="1:16" x14ac:dyDescent="0.35">
      <c r="A31" t="s">
        <v>159</v>
      </c>
      <c r="B31" s="23">
        <f>SUM(B27:B29)</f>
        <v>0.45101000000000002</v>
      </c>
      <c r="C31" s="23">
        <f>SUM(C27:C29)</f>
        <v>0.45796999999999999</v>
      </c>
      <c r="D31" s="18">
        <f>SUM(D27:D29)</f>
        <v>0.45449000000000001</v>
      </c>
      <c r="H31" s="97"/>
      <c r="I31" s="97"/>
      <c r="J31" s="87"/>
    </row>
    <row r="32" spans="1:16" x14ac:dyDescent="0.35">
      <c r="A32" t="s">
        <v>160</v>
      </c>
      <c r="B32" s="62">
        <f>B27/B31</f>
        <v>6.7892064477506037E-2</v>
      </c>
      <c r="C32" s="62">
        <f>C27/C31</f>
        <v>5.5178286787344155E-2</v>
      </c>
      <c r="D32" s="62">
        <f>D27/D31</f>
        <v>6.1486501353165086E-2</v>
      </c>
      <c r="H32" s="97"/>
      <c r="I32" s="97"/>
      <c r="J32" s="87"/>
    </row>
    <row r="33" spans="1:11" x14ac:dyDescent="0.35">
      <c r="H33" s="39"/>
      <c r="I33" s="39"/>
      <c r="J33" s="39"/>
      <c r="K33" s="63"/>
    </row>
    <row r="34" spans="1:11" x14ac:dyDescent="0.35">
      <c r="A34" t="s">
        <v>161</v>
      </c>
      <c r="H34" s="39"/>
      <c r="I34" s="39"/>
      <c r="J34" s="39"/>
      <c r="K34" s="63"/>
    </row>
    <row r="35" spans="1:11" x14ac:dyDescent="0.35">
      <c r="A35" t="s">
        <v>162</v>
      </c>
      <c r="B35" s="19">
        <f>B27+(B27*P21)</f>
        <v>4.7998672619047632E-2</v>
      </c>
      <c r="C35" s="19">
        <f>C27+(C27*P21)</f>
        <v>3.9612229166666679E-2</v>
      </c>
      <c r="D35" s="19">
        <f>D27+(D27*P21)</f>
        <v>4.3805450892857152E-2</v>
      </c>
    </row>
    <row r="36" spans="1:11" x14ac:dyDescent="0.35">
      <c r="A36" t="s">
        <v>158</v>
      </c>
      <c r="B36" s="85">
        <f>B30</f>
        <v>0.42039000000000004</v>
      </c>
      <c r="C36" s="85">
        <f>C30</f>
        <v>0.43269999999999997</v>
      </c>
      <c r="D36" s="85">
        <f>D30</f>
        <v>0.42654500000000001</v>
      </c>
      <c r="H36" s="19"/>
      <c r="I36" s="19"/>
      <c r="J36" s="19"/>
      <c r="K36" s="19"/>
    </row>
    <row r="37" spans="1:11" x14ac:dyDescent="0.35">
      <c r="A37" t="s">
        <v>163</v>
      </c>
      <c r="B37" s="19">
        <f>SUM(B35:B36)</f>
        <v>0.46838867261904765</v>
      </c>
      <c r="C37" s="19">
        <f>SUM(C35:C36)</f>
        <v>0.47231222916666665</v>
      </c>
      <c r="D37" s="19">
        <f>SUM(D35:D36)</f>
        <v>0.47035045089285715</v>
      </c>
      <c r="H37" s="19"/>
      <c r="I37" s="19"/>
      <c r="J37" s="19"/>
    </row>
    <row r="38" spans="1:11" x14ac:dyDescent="0.35">
      <c r="A38" t="s">
        <v>164</v>
      </c>
      <c r="B38" s="62">
        <f>B35/B37</f>
        <v>0.10247616013140899</v>
      </c>
      <c r="C38" s="62">
        <f>C35/C37</f>
        <v>8.3868734960679064E-2</v>
      </c>
      <c r="D38" s="86">
        <f>D35/D37</f>
        <v>9.3133642818247778E-2</v>
      </c>
      <c r="H38" s="19"/>
      <c r="I38" s="19"/>
      <c r="J38" s="19"/>
    </row>
    <row r="39" spans="1:11" x14ac:dyDescent="0.35">
      <c r="H39" s="39"/>
      <c r="I39" s="39"/>
      <c r="J39" s="39"/>
    </row>
    <row r="41" spans="1:11" x14ac:dyDescent="0.35">
      <c r="J41" s="16"/>
      <c r="K41" s="16"/>
    </row>
    <row r="42" spans="1:11" x14ac:dyDescent="0.35">
      <c r="J42" s="16"/>
      <c r="K42" s="16"/>
    </row>
    <row r="43" spans="1:11" x14ac:dyDescent="0.35">
      <c r="J43" s="16"/>
      <c r="K43" s="16"/>
    </row>
    <row r="44" spans="1:11" x14ac:dyDescent="0.35">
      <c r="J44" s="16"/>
      <c r="K44" s="16"/>
    </row>
    <row r="45" spans="1:11" x14ac:dyDescent="0.35">
      <c r="J45" s="16"/>
      <c r="K4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CBD8-85F7-4C9C-AEE1-09ADC6F66C67}">
  <sheetPr>
    <tabColor theme="5" tint="0.79998168889431442"/>
  </sheetPr>
  <dimension ref="A1:P46"/>
  <sheetViews>
    <sheetView workbookViewId="0">
      <selection activeCell="D15" sqref="D15"/>
    </sheetView>
  </sheetViews>
  <sheetFormatPr defaultRowHeight="14.5" x14ac:dyDescent="0.35"/>
  <cols>
    <col min="1" max="1" width="31.1796875" bestFit="1" customWidth="1"/>
    <col min="2" max="2" width="15.26953125" customWidth="1"/>
    <col min="3" max="3" width="11.1796875" bestFit="1" customWidth="1"/>
    <col min="4" max="4" width="10.81640625" bestFit="1" customWidth="1"/>
    <col min="7" max="11" width="12.81640625" customWidth="1"/>
    <col min="14" max="14" width="13.26953125" bestFit="1" customWidth="1"/>
    <col min="15" max="15" width="16.453125" bestFit="1" customWidth="1"/>
  </cols>
  <sheetData>
    <row r="1" spans="1:15" x14ac:dyDescent="0.35">
      <c r="A1" s="24" t="s">
        <v>173</v>
      </c>
    </row>
    <row r="3" spans="1:15" x14ac:dyDescent="0.35">
      <c r="A3" s="145" t="s">
        <v>128</v>
      </c>
    </row>
    <row r="4" spans="1:15" x14ac:dyDescent="0.35">
      <c r="A4" s="145" t="s">
        <v>129</v>
      </c>
      <c r="B4" s="176">
        <f>SUMMARY!C5</f>
        <v>2</v>
      </c>
      <c r="C4" s="145"/>
      <c r="D4" s="145"/>
    </row>
    <row r="5" spans="1:15" x14ac:dyDescent="0.35">
      <c r="A5" s="145" t="s">
        <v>130</v>
      </c>
      <c r="B5" s="176">
        <f>IF(SUMMARY!C4=Assumptions!B53,Assumptions!D17,(IF(SUMMARY!C4=Assumptions!B54,Assumptions!F17,(IF(SUMMARY!C4=Assumptions!B55,Assumptions!F18,(IF(SUMMARY!C4=Assumptions!B56,Assumptions!D19,(IF(SUMMARY!C4=Assumptions!B57,Assumptions!F19,Assumptions!F18)))))))))</f>
        <v>569</v>
      </c>
      <c r="C5" s="145" t="str">
        <f>SUMMARY!C3</f>
        <v>mean company</v>
      </c>
      <c r="D5" s="145"/>
    </row>
    <row r="6" spans="1:15" x14ac:dyDescent="0.35">
      <c r="A6" s="145" t="s">
        <v>131</v>
      </c>
      <c r="B6" s="146">
        <f>SUMMARY!L3</f>
        <v>0.02</v>
      </c>
      <c r="C6" s="145"/>
      <c r="D6" s="145"/>
    </row>
    <row r="8" spans="1:15" x14ac:dyDescent="0.35">
      <c r="A8" t="s">
        <v>174</v>
      </c>
    </row>
    <row r="9" spans="1:15" x14ac:dyDescent="0.35">
      <c r="A9" t="s">
        <v>175</v>
      </c>
    </row>
    <row r="10" spans="1:15" x14ac:dyDescent="0.35">
      <c r="A10" t="s">
        <v>134</v>
      </c>
    </row>
    <row r="13" spans="1:15" ht="72.5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147</v>
      </c>
      <c r="N13" s="30" t="s">
        <v>168</v>
      </c>
      <c r="O13" s="30" t="s">
        <v>149</v>
      </c>
    </row>
    <row r="14" spans="1:15" x14ac:dyDescent="0.35">
      <c r="A14" s="9" t="s">
        <v>4</v>
      </c>
      <c r="B14" s="9">
        <f>Assumptions!$C$12*Assumptions!D2</f>
        <v>31367.440000000002</v>
      </c>
      <c r="C14" s="196">
        <f>VLOOKUP($B$4,'FPL Limits'!$J$3:$P$23,2,FALSE)</f>
        <v>10220</v>
      </c>
      <c r="D14" s="33">
        <f>((M14*$D$30)+$D$26)*12</f>
        <v>2421.4374600000001</v>
      </c>
      <c r="E14" s="197">
        <f>D14/C14</f>
        <v>0.23693125831702544</v>
      </c>
      <c r="F14" s="197">
        <f t="shared" ref="F14:F19" si="0">$B$6</f>
        <v>0.02</v>
      </c>
      <c r="G14" s="198">
        <f>C14*F14</f>
        <v>204.4</v>
      </c>
      <c r="H14" s="198">
        <f>IF(D14-G14&lt;0,0,D14-G14)</f>
        <v>2217.03746</v>
      </c>
      <c r="I14" s="131">
        <f>MAX(ROUND(H14/D14,2),32%)</f>
        <v>0.92</v>
      </c>
      <c r="J14" s="198">
        <f>D14-(D14*I14)</f>
        <v>193.71499679999988</v>
      </c>
      <c r="K14" s="12">
        <f>J14/C14</f>
        <v>1.8954500665362025E-2</v>
      </c>
      <c r="L14" s="13">
        <f t="shared" ref="L14:L19" si="1">$B$4</f>
        <v>2</v>
      </c>
      <c r="M14" s="13">
        <f t="shared" ref="M14:M19" si="2">$B$5</f>
        <v>569</v>
      </c>
      <c r="N14" s="33">
        <f>B14*(D14-J14)</f>
        <v>69877950.701078221</v>
      </c>
      <c r="O14" s="33">
        <f>B14*D14*Assumptions!$E$11</f>
        <v>31900803.580927014</v>
      </c>
    </row>
    <row r="15" spans="1:15" x14ac:dyDescent="0.35">
      <c r="A15" s="9" t="s">
        <v>5</v>
      </c>
      <c r="B15" s="9">
        <f>Assumptions!$C$12*Assumptions!D3</f>
        <v>14235.991999999998</v>
      </c>
      <c r="C15" s="196">
        <f>VLOOKUP($B$4,'FPL Limits'!$J$3:$P$23,3,FALSE)</f>
        <v>22995</v>
      </c>
      <c r="D15" s="33">
        <f>((M15*$D$30)+$D$26)*12</f>
        <v>2421.4374600000001</v>
      </c>
      <c r="E15" s="197">
        <f t="shared" ref="E15:E19" si="3">D15/C15</f>
        <v>0.10530278147423354</v>
      </c>
      <c r="F15" s="197">
        <f t="shared" si="0"/>
        <v>0.02</v>
      </c>
      <c r="G15" s="198">
        <f t="shared" ref="G15:G19" si="4">C15*F15</f>
        <v>459.90000000000003</v>
      </c>
      <c r="H15" s="198">
        <f t="shared" ref="H15:H19" si="5">IF(D15-G15&lt;0,0,D15-G15)</f>
        <v>1961.53746</v>
      </c>
      <c r="I15" s="131">
        <f>AVERAGE(I14,I19)</f>
        <v>0.62</v>
      </c>
      <c r="J15" s="198">
        <f t="shared" ref="J15:J19" si="6">D15-(D15*I15)</f>
        <v>920.1462348</v>
      </c>
      <c r="K15" s="12">
        <f t="shared" ref="K15:K19" si="7">J15/C15</f>
        <v>4.0015056960208739E-2</v>
      </c>
      <c r="L15" s="13">
        <f t="shared" si="1"/>
        <v>2</v>
      </c>
      <c r="M15" s="13">
        <f t="shared" si="2"/>
        <v>569</v>
      </c>
      <c r="N15" s="33">
        <f t="shared" ref="N15:N19" si="8">B15*(D15-J15)</f>
        <v>21372369.871617399</v>
      </c>
      <c r="O15" s="33">
        <f>B15*D15*Assumptions!$E$11</f>
        <v>14478057.009805335</v>
      </c>
    </row>
    <row r="16" spans="1:15" x14ac:dyDescent="0.35">
      <c r="A16" s="9" t="s">
        <v>6</v>
      </c>
      <c r="B16" s="9">
        <f>Assumptions!$C$12*Assumptions!D4</f>
        <v>14115.348</v>
      </c>
      <c r="C16" s="196">
        <f>VLOOKUP($B$4,'FPL Limits'!$J$3:$P$23,4,FALSE)</f>
        <v>28105</v>
      </c>
      <c r="D16" s="33">
        <f>((M16*$D$30)+$D$26)*12</f>
        <v>2421.4374600000001</v>
      </c>
      <c r="E16" s="197">
        <f t="shared" si="3"/>
        <v>8.6156821206191073E-2</v>
      </c>
      <c r="F16" s="197">
        <f t="shared" si="0"/>
        <v>0.02</v>
      </c>
      <c r="G16" s="198">
        <f t="shared" si="4"/>
        <v>562.1</v>
      </c>
      <c r="H16" s="198">
        <f t="shared" si="5"/>
        <v>1859.3374600000002</v>
      </c>
      <c r="I16" s="131">
        <f>I15</f>
        <v>0.62</v>
      </c>
      <c r="J16" s="198">
        <f t="shared" si="6"/>
        <v>920.1462348</v>
      </c>
      <c r="K16" s="12">
        <f t="shared" si="7"/>
        <v>3.2739592058352605E-2</v>
      </c>
      <c r="L16" s="13">
        <f t="shared" si="1"/>
        <v>2</v>
      </c>
      <c r="M16" s="13">
        <f t="shared" si="2"/>
        <v>569</v>
      </c>
      <c r="N16" s="33">
        <f t="shared" si="8"/>
        <v>21191248.09304437</v>
      </c>
      <c r="O16" s="33">
        <f>B16*D16*Assumptions!$E$11</f>
        <v>14355361.611417156</v>
      </c>
    </row>
    <row r="17" spans="1:16" x14ac:dyDescent="0.35">
      <c r="A17" s="9" t="s">
        <v>7</v>
      </c>
      <c r="B17" s="9">
        <f>Assumptions!$C$12*Assumptions!D5</f>
        <v>13874.060000000001</v>
      </c>
      <c r="C17" s="196">
        <f>VLOOKUP($B$4,'FPL Limits'!$J$3:$P$23,5,FALSE)</f>
        <v>33215</v>
      </c>
      <c r="D17" s="33">
        <f>((M17*$D$30)+$D$26)*12</f>
        <v>2421.4374600000001</v>
      </c>
      <c r="E17" s="197">
        <f t="shared" si="3"/>
        <v>7.2901925636007836E-2</v>
      </c>
      <c r="F17" s="197">
        <f t="shared" si="0"/>
        <v>0.02</v>
      </c>
      <c r="G17" s="198">
        <f t="shared" si="4"/>
        <v>664.30000000000007</v>
      </c>
      <c r="H17" s="198">
        <f t="shared" si="5"/>
        <v>1757.1374599999999</v>
      </c>
      <c r="I17" s="131">
        <f>I15</f>
        <v>0.62</v>
      </c>
      <c r="J17" s="198">
        <f t="shared" si="6"/>
        <v>920.1462348</v>
      </c>
      <c r="K17" s="12">
        <f t="shared" si="7"/>
        <v>2.7702731741682973E-2</v>
      </c>
      <c r="L17" s="13">
        <f t="shared" si="1"/>
        <v>2</v>
      </c>
      <c r="M17" s="13">
        <f t="shared" si="2"/>
        <v>569</v>
      </c>
      <c r="N17" s="33">
        <f t="shared" si="8"/>
        <v>20829004.535898317</v>
      </c>
      <c r="O17" s="33">
        <f>B17*D17*Assumptions!$E$11</f>
        <v>14109970.814640794</v>
      </c>
    </row>
    <row r="18" spans="1:16" x14ac:dyDescent="0.35">
      <c r="A18" s="9" t="s">
        <v>150</v>
      </c>
      <c r="B18" s="9">
        <f>Assumptions!$C$12*Assumptions!D6</f>
        <v>12667.619999999999</v>
      </c>
      <c r="C18" s="196">
        <f>VLOOKUP($B$4,'FPL Limits'!$J$3:$P$23,6,FALSE)</f>
        <v>38325</v>
      </c>
      <c r="D18" s="33">
        <f t="shared" ref="D18" si="9">((M18*$D$30)+$D$26)*12</f>
        <v>2421.4374600000001</v>
      </c>
      <c r="E18" s="197">
        <f t="shared" si="3"/>
        <v>6.3181668884540118E-2</v>
      </c>
      <c r="F18" s="197">
        <f t="shared" si="0"/>
        <v>0.02</v>
      </c>
      <c r="G18" s="198">
        <f t="shared" si="4"/>
        <v>766.5</v>
      </c>
      <c r="H18" s="198">
        <f t="shared" si="5"/>
        <v>1654.9374600000001</v>
      </c>
      <c r="I18" s="131">
        <f>I15</f>
        <v>0.62</v>
      </c>
      <c r="J18" s="198">
        <f t="shared" si="6"/>
        <v>920.1462348</v>
      </c>
      <c r="K18" s="12">
        <f t="shared" si="7"/>
        <v>2.4009034176125245E-2</v>
      </c>
      <c r="L18" s="13">
        <f t="shared" si="1"/>
        <v>2</v>
      </c>
      <c r="M18" s="13">
        <f t="shared" si="2"/>
        <v>569</v>
      </c>
      <c r="N18" s="33">
        <f t="shared" si="8"/>
        <v>19017786.750168025</v>
      </c>
      <c r="O18" s="33">
        <f>B18*D18*Assumptions!$E$11</f>
        <v>12883016.830758983</v>
      </c>
    </row>
    <row r="19" spans="1:16" x14ac:dyDescent="0.35">
      <c r="A19" s="9" t="s">
        <v>9</v>
      </c>
      <c r="B19" s="9">
        <f>Assumptions!$C$12*Assumptions!D7</f>
        <v>34383.539999999994</v>
      </c>
      <c r="C19" s="196">
        <f>VLOOKUP($B$4,'FPL Limits'!$J$3:$P$23,7,FALSE)</f>
        <v>52606.5</v>
      </c>
      <c r="D19" s="33">
        <f>((M19*$D$30)+$D$26)*12</f>
        <v>2421.4374600000001</v>
      </c>
      <c r="E19" s="197">
        <f t="shared" si="3"/>
        <v>4.6029244675087684E-2</v>
      </c>
      <c r="F19" s="197">
        <f t="shared" si="0"/>
        <v>0.02</v>
      </c>
      <c r="G19" s="198">
        <f t="shared" si="4"/>
        <v>1052.1300000000001</v>
      </c>
      <c r="H19" s="198">
        <f t="shared" si="5"/>
        <v>1369.30746</v>
      </c>
      <c r="I19" s="131">
        <v>0.32</v>
      </c>
      <c r="J19" s="198">
        <f t="shared" si="6"/>
        <v>1646.5774728000001</v>
      </c>
      <c r="K19" s="12">
        <f t="shared" si="7"/>
        <v>3.1299886379059623E-2</v>
      </c>
      <c r="L19" s="13">
        <f t="shared" si="1"/>
        <v>2</v>
      </c>
      <c r="M19" s="140">
        <f t="shared" si="2"/>
        <v>569</v>
      </c>
      <c r="N19" s="141">
        <f t="shared" si="8"/>
        <v>26642429.364290681</v>
      </c>
      <c r="O19" s="141">
        <f>B19*D19*Assumptions!$E$11</f>
        <v>34968188.540631525</v>
      </c>
    </row>
    <row r="20" spans="1:16" x14ac:dyDescent="0.3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1" t="s">
        <v>151</v>
      </c>
      <c r="N20" s="139">
        <f>SUM(N14:N19)</f>
        <v>178930789.31609699</v>
      </c>
      <c r="O20" s="139">
        <f>SUM(O14:O19)</f>
        <v>122695398.38818082</v>
      </c>
    </row>
    <row r="21" spans="1:16" x14ac:dyDescent="0.35">
      <c r="N21" s="142" t="s">
        <v>169</v>
      </c>
      <c r="O21" s="139">
        <f>N20-O20</f>
        <v>56235390.927916169</v>
      </c>
      <c r="P21" s="143">
        <f>O21/O20</f>
        <v>0.45833333333333298</v>
      </c>
    </row>
    <row r="23" spans="1:16" x14ac:dyDescent="0.35">
      <c r="A23" s="1" t="s">
        <v>176</v>
      </c>
    </row>
    <row r="25" spans="1:16" x14ac:dyDescent="0.35">
      <c r="A25" s="31" t="s">
        <v>177</v>
      </c>
      <c r="B25" s="43">
        <v>45474</v>
      </c>
      <c r="C25" s="43">
        <v>45658</v>
      </c>
      <c r="D25" s="8" t="s">
        <v>153</v>
      </c>
    </row>
    <row r="26" spans="1:16" x14ac:dyDescent="0.35">
      <c r="A26" t="s">
        <v>154</v>
      </c>
      <c r="B26" s="17">
        <v>7</v>
      </c>
      <c r="C26" s="17">
        <v>10</v>
      </c>
      <c r="D26" s="14">
        <f>AVERAGE(B26:C26)</f>
        <v>8.5</v>
      </c>
      <c r="F26" s="1"/>
      <c r="G26" s="43"/>
      <c r="H26" s="43"/>
      <c r="I26" s="103"/>
    </row>
    <row r="27" spans="1:16" x14ac:dyDescent="0.35">
      <c r="A27" t="s">
        <v>155</v>
      </c>
      <c r="B27" s="19">
        <v>9.7599999999999996E-3</v>
      </c>
      <c r="C27" s="19">
        <v>9.7599999999999996E-3</v>
      </c>
      <c r="D27" s="19">
        <f>AVERAGE(B27:C27)</f>
        <v>9.7599999999999996E-3</v>
      </c>
      <c r="G27" s="104"/>
      <c r="H27" s="104"/>
      <c r="I27" s="36"/>
    </row>
    <row r="28" spans="1:16" x14ac:dyDescent="0.35">
      <c r="A28" t="s">
        <v>172</v>
      </c>
      <c r="B28" s="18">
        <v>0.16582000000000002</v>
      </c>
      <c r="C28" s="18">
        <v>0.17115</v>
      </c>
      <c r="D28" s="19">
        <f>AVERAGE(B28:C28)</f>
        <v>0.168485</v>
      </c>
      <c r="G28" s="19"/>
      <c r="H28" s="19"/>
      <c r="I28" s="19"/>
    </row>
    <row r="29" spans="1:16" ht="16" x14ac:dyDescent="0.5">
      <c r="A29" s="20" t="s">
        <v>157</v>
      </c>
      <c r="B29" s="21">
        <v>0.18213000000000001</v>
      </c>
      <c r="C29" s="21">
        <v>0.16028999999999999</v>
      </c>
      <c r="D29" s="22">
        <f>AVERAGE(B29:C29)</f>
        <v>0.17121</v>
      </c>
      <c r="G29" s="87"/>
      <c r="H29" s="87"/>
      <c r="I29" s="19"/>
    </row>
    <row r="30" spans="1:16" x14ac:dyDescent="0.35">
      <c r="A30" t="s">
        <v>158</v>
      </c>
      <c r="B30" s="23">
        <f>B28+B29</f>
        <v>0.34795000000000004</v>
      </c>
      <c r="C30" s="23">
        <f>C28+C29</f>
        <v>0.33143999999999996</v>
      </c>
      <c r="D30" s="19">
        <f>AVERAGE(B30:C30)</f>
        <v>0.33969499999999997</v>
      </c>
      <c r="G30" s="87"/>
      <c r="H30" s="87"/>
      <c r="I30" s="19"/>
    </row>
    <row r="31" spans="1:16" x14ac:dyDescent="0.35">
      <c r="A31" t="s">
        <v>159</v>
      </c>
      <c r="B31" s="23">
        <f>SUM(B27:B29)</f>
        <v>0.35771000000000003</v>
      </c>
      <c r="C31" s="23">
        <f>SUM(C27:C29)</f>
        <v>0.34119999999999995</v>
      </c>
      <c r="D31" s="18">
        <f>SUM(D27:D29)</f>
        <v>0.34945499999999996</v>
      </c>
      <c r="G31" s="87"/>
      <c r="H31" s="87"/>
      <c r="I31" s="19"/>
    </row>
    <row r="32" spans="1:16" x14ac:dyDescent="0.35">
      <c r="A32" t="s">
        <v>160</v>
      </c>
      <c r="B32" s="62">
        <f>B27/B31</f>
        <v>2.7284671940957756E-2</v>
      </c>
      <c r="C32" s="62">
        <f>C27/C31</f>
        <v>2.8604923798358738E-2</v>
      </c>
      <c r="D32" s="62">
        <f>D27/D31</f>
        <v>2.7929204046300671E-2</v>
      </c>
      <c r="G32" s="87"/>
      <c r="H32" s="87"/>
      <c r="I32" s="87"/>
    </row>
    <row r="33" spans="1:11" x14ac:dyDescent="0.35">
      <c r="G33" s="39"/>
      <c r="H33" s="39"/>
      <c r="I33" s="39"/>
    </row>
    <row r="34" spans="1:11" x14ac:dyDescent="0.35">
      <c r="A34" t="s">
        <v>161</v>
      </c>
    </row>
    <row r="35" spans="1:11" x14ac:dyDescent="0.35">
      <c r="A35" t="s">
        <v>162</v>
      </c>
      <c r="B35" s="19">
        <f>B27+(B27*P21)</f>
        <v>1.423333333333333E-2</v>
      </c>
      <c r="C35" s="19">
        <f>C27+(C27*P21)</f>
        <v>1.423333333333333E-2</v>
      </c>
      <c r="D35" s="19">
        <f>D27+(D27*P21)</f>
        <v>1.423333333333333E-2</v>
      </c>
    </row>
    <row r="36" spans="1:11" x14ac:dyDescent="0.35">
      <c r="A36" t="s">
        <v>158</v>
      </c>
      <c r="B36" s="85">
        <f>B30</f>
        <v>0.34795000000000004</v>
      </c>
      <c r="C36" s="85">
        <f>C30</f>
        <v>0.33143999999999996</v>
      </c>
      <c r="D36" s="85">
        <f>D30</f>
        <v>0.33969499999999997</v>
      </c>
      <c r="G36" s="19"/>
      <c r="H36" s="19"/>
      <c r="I36" s="19"/>
    </row>
    <row r="37" spans="1:11" x14ac:dyDescent="0.35">
      <c r="A37" t="s">
        <v>163</v>
      </c>
      <c r="B37" s="19">
        <f>SUM(B35:B36)</f>
        <v>0.36218333333333336</v>
      </c>
      <c r="C37" s="19">
        <f>SUM(C35:C36)</f>
        <v>0.34567333333333328</v>
      </c>
      <c r="D37" s="19">
        <f>SUM(D35:D36)</f>
        <v>0.35392833333333329</v>
      </c>
      <c r="G37" s="19"/>
      <c r="H37" s="19"/>
      <c r="I37" s="19"/>
    </row>
    <row r="38" spans="1:11" x14ac:dyDescent="0.35">
      <c r="A38" t="s">
        <v>164</v>
      </c>
      <c r="B38" s="62">
        <f>B35/B37</f>
        <v>3.9298697712944627E-2</v>
      </c>
      <c r="C38" s="62">
        <f>C35/C37</f>
        <v>4.1175676457541804E-2</v>
      </c>
      <c r="D38" s="86">
        <f>D35/D37</f>
        <v>4.0215297823947407E-2</v>
      </c>
      <c r="G38" s="19"/>
      <c r="H38" s="19"/>
      <c r="I38" s="19"/>
    </row>
    <row r="39" spans="1:11" x14ac:dyDescent="0.35">
      <c r="G39" s="39"/>
      <c r="H39" s="39"/>
      <c r="I39" s="39"/>
    </row>
    <row r="40" spans="1:11" x14ac:dyDescent="0.35">
      <c r="J40" s="16"/>
      <c r="K40" s="16"/>
    </row>
    <row r="41" spans="1:11" x14ac:dyDescent="0.35">
      <c r="J41" s="16"/>
      <c r="K41" s="16"/>
    </row>
    <row r="42" spans="1:11" x14ac:dyDescent="0.35">
      <c r="J42" s="16"/>
      <c r="K42" s="16"/>
    </row>
    <row r="43" spans="1:11" x14ac:dyDescent="0.35">
      <c r="J43" s="16"/>
      <c r="K43" s="16"/>
    </row>
    <row r="44" spans="1:11" x14ac:dyDescent="0.35">
      <c r="J44" s="16"/>
      <c r="K44" s="16"/>
    </row>
    <row r="45" spans="1:11" x14ac:dyDescent="0.35">
      <c r="J45" s="16"/>
      <c r="K45" s="16"/>
    </row>
    <row r="46" spans="1:11" x14ac:dyDescent="0.35">
      <c r="J46" s="16"/>
      <c r="K46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763B-5ABB-45AB-BB03-1A9DBD0EAF58}">
  <sheetPr>
    <tabColor theme="7" tint="0.79998168889431442"/>
  </sheetPr>
  <dimension ref="A1:S38"/>
  <sheetViews>
    <sheetView zoomScaleNormal="100" workbookViewId="0">
      <selection activeCell="P13" sqref="P13:P25"/>
    </sheetView>
  </sheetViews>
  <sheetFormatPr defaultRowHeight="14.5" x14ac:dyDescent="0.35"/>
  <cols>
    <col min="1" max="1" width="39.453125" bestFit="1" customWidth="1"/>
    <col min="2" max="3" width="12" bestFit="1" customWidth="1"/>
    <col min="4" max="13" width="10.81640625" customWidth="1"/>
    <col min="15" max="15" width="14.54296875" customWidth="1"/>
    <col min="16" max="16" width="13.26953125" bestFit="1" customWidth="1"/>
    <col min="19" max="19" width="15.26953125" style="4" bestFit="1" customWidth="1"/>
  </cols>
  <sheetData>
    <row r="1" spans="1:18" x14ac:dyDescent="0.35">
      <c r="A1" s="29" t="s">
        <v>178</v>
      </c>
    </row>
    <row r="3" spans="1:18" x14ac:dyDescent="0.35">
      <c r="A3" s="145" t="s">
        <v>128</v>
      </c>
    </row>
    <row r="4" spans="1:18" x14ac:dyDescent="0.35">
      <c r="A4" s="145" t="s">
        <v>129</v>
      </c>
      <c r="B4" s="176">
        <f>SUMMARY!C5</f>
        <v>2</v>
      </c>
      <c r="C4" s="145"/>
      <c r="D4" s="145"/>
    </row>
    <row r="5" spans="1:18" x14ac:dyDescent="0.35">
      <c r="A5" s="145" t="s">
        <v>179</v>
      </c>
      <c r="B5" s="178">
        <f>IF(SUMMARY!C3=Assumptions!B53,Assumptions!E35,(IF(SUMMARY!C3=Assumptions!B54,Assumptions!I35,(IF(SUMMARY!C3=Assumptions!B55,Assumptions!I47,(IF(SUMMARY!C3=Assumptions!B56,Assumptions!E42,(IF(SUMMARY!C3=Assumptions!B57,Assumptions!I42,0)))))))))</f>
        <v>115.8</v>
      </c>
      <c r="C5" s="145" t="str">
        <f>SUMMARY!C3</f>
        <v>mean company</v>
      </c>
      <c r="D5" s="145"/>
    </row>
    <row r="6" spans="1:18" x14ac:dyDescent="0.35">
      <c r="A6" s="145" t="s">
        <v>180</v>
      </c>
      <c r="B6" s="176">
        <f>IF(SUMMARY!C3=Assumptions!B53,Assumptions!E37,(IF(SUMMARY!C3=Assumptions!B54,Assumptions!I37,(IF(SUMMARY!C3=Assumptions!B55,Assumptions!I48,(IF(SUMMARY!C3=Assumptions!B56,Assumptions!E44,(IF(SUMMARY!C3=Assumptions!B57,Assumptions!I44,0)))))))))</f>
        <v>28.1</v>
      </c>
      <c r="C6" s="145"/>
      <c r="D6" s="145"/>
    </row>
    <row r="7" spans="1:18" x14ac:dyDescent="0.35">
      <c r="A7" s="145" t="s">
        <v>131</v>
      </c>
      <c r="B7" s="146">
        <f>SUMMARY!L4</f>
        <v>0.02</v>
      </c>
      <c r="C7" s="145"/>
      <c r="D7" s="145"/>
    </row>
    <row r="9" spans="1:18" x14ac:dyDescent="0.35">
      <c r="A9" t="s">
        <v>181</v>
      </c>
    </row>
    <row r="10" spans="1:18" x14ac:dyDescent="0.35">
      <c r="A10" t="s">
        <v>182</v>
      </c>
    </row>
    <row r="11" spans="1:18" x14ac:dyDescent="0.35">
      <c r="A11" t="s">
        <v>183</v>
      </c>
    </row>
    <row r="13" spans="1:18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8" x14ac:dyDescent="0.35">
      <c r="A14" s="9" t="s">
        <v>4</v>
      </c>
      <c r="B14" s="9">
        <f>Assumptions!$F$23*Assumptions!D2</f>
        <v>8424</v>
      </c>
      <c r="C14" s="196">
        <f>VLOOKUP($B$4,'FPL Limits'!$J$3:$P$23,2,FALSE)</f>
        <v>10220</v>
      </c>
      <c r="D14" s="33">
        <f t="shared" ref="D14:D19" si="0">((($B$30*M14)+$B$26)*6+(($C$30*N14)+$C$26)*6)</f>
        <v>1990.7379599999999</v>
      </c>
      <c r="E14" s="197">
        <f>D14/C14</f>
        <v>0.19478845009784734</v>
      </c>
      <c r="F14" s="197">
        <f t="shared" ref="F14:F19" si="1">$B$7</f>
        <v>0.02</v>
      </c>
      <c r="G14" s="198">
        <f>C14*F14</f>
        <v>204.4</v>
      </c>
      <c r="H14" s="198">
        <f>IF(D14-G14&lt;0,0,D14-G14)</f>
        <v>1786.3379599999998</v>
      </c>
      <c r="I14" s="131">
        <f>MAX(ROUND(H14/D14,2),25%)</f>
        <v>0.9</v>
      </c>
      <c r="J14" s="198">
        <f>D14-(D14*I14)</f>
        <v>199.0737959999999</v>
      </c>
      <c r="K14" s="12">
        <f>J14/C14</f>
        <v>1.9478845009784727E-2</v>
      </c>
      <c r="L14" s="13">
        <f>$B$4</f>
        <v>2</v>
      </c>
      <c r="M14" s="13">
        <f>$B$5</f>
        <v>115.8</v>
      </c>
      <c r="N14" s="13">
        <f>$B$6</f>
        <v>28.1</v>
      </c>
      <c r="O14" s="33">
        <f>B14*(D14-J14)</f>
        <v>15092978.917536</v>
      </c>
      <c r="P14" s="33">
        <f>B14*D14*0.25</f>
        <v>4192494.1437599999</v>
      </c>
      <c r="R14" s="106"/>
    </row>
    <row r="15" spans="1:18" x14ac:dyDescent="0.35">
      <c r="A15" s="9" t="s">
        <v>5</v>
      </c>
      <c r="B15" s="9">
        <f>Assumptions!$F$23*Assumptions!D3</f>
        <v>3823.2</v>
      </c>
      <c r="C15" s="196">
        <f>VLOOKUP($B$4,'FPL Limits'!$J$3:$P$23,3,FALSE)</f>
        <v>22995</v>
      </c>
      <c r="D15" s="33">
        <f t="shared" si="0"/>
        <v>1990.7379599999999</v>
      </c>
      <c r="E15" s="197">
        <f t="shared" ref="E15:E19" si="2">D15/C15</f>
        <v>8.6572644487932157E-2</v>
      </c>
      <c r="F15" s="197">
        <f t="shared" si="1"/>
        <v>0.02</v>
      </c>
      <c r="G15" s="198">
        <f t="shared" ref="G15:G19" si="3">C15*F15</f>
        <v>459.90000000000003</v>
      </c>
      <c r="H15" s="198">
        <f t="shared" ref="H15:H19" si="4">IF(D15-G15&lt;0,0,D15-G15)</f>
        <v>1530.8379599999998</v>
      </c>
      <c r="I15" s="131">
        <f>AVERAGE(I14,I19)</f>
        <v>0.57499999999999996</v>
      </c>
      <c r="J15" s="198">
        <f t="shared" ref="J15:J19" si="5">D15-(D15*I15)</f>
        <v>846.06363299999998</v>
      </c>
      <c r="K15" s="12">
        <f t="shared" ref="K15:K19" si="6">J15/C15</f>
        <v>3.6793373907371169E-2</v>
      </c>
      <c r="L15" s="13">
        <f t="shared" ref="L15:L19" si="7">$B$4</f>
        <v>2</v>
      </c>
      <c r="M15" s="13">
        <f t="shared" ref="M15:M19" si="8">$B$5</f>
        <v>115.8</v>
      </c>
      <c r="N15" s="13">
        <f t="shared" ref="N15:N19" si="9">$B$6</f>
        <v>28.1</v>
      </c>
      <c r="O15" s="33">
        <f t="shared" ref="O15:O19" si="10">B15*(D15-J15)</f>
        <v>4376318.8869864</v>
      </c>
      <c r="P15" s="33">
        <f t="shared" ref="P15:P19" si="11">B15*D15*0.25</f>
        <v>1902747.3421679998</v>
      </c>
      <c r="R15" s="106"/>
    </row>
    <row r="16" spans="1:18" x14ac:dyDescent="0.35">
      <c r="A16" s="9" t="s">
        <v>6</v>
      </c>
      <c r="B16" s="9">
        <f>Assumptions!$F$23*Assumptions!D4</f>
        <v>3790.8</v>
      </c>
      <c r="C16" s="196">
        <f>VLOOKUP($B$4,'FPL Limits'!$J$3:$P$23,4,FALSE)</f>
        <v>28105</v>
      </c>
      <c r="D16" s="33">
        <f t="shared" si="0"/>
        <v>1990.7379599999999</v>
      </c>
      <c r="E16" s="197">
        <f t="shared" si="2"/>
        <v>7.083216367194449E-2</v>
      </c>
      <c r="F16" s="197">
        <f t="shared" si="1"/>
        <v>0.02</v>
      </c>
      <c r="G16" s="198">
        <f t="shared" si="3"/>
        <v>562.1</v>
      </c>
      <c r="H16" s="198">
        <f t="shared" si="4"/>
        <v>1428.63796</v>
      </c>
      <c r="I16" s="131">
        <f>I15</f>
        <v>0.57499999999999996</v>
      </c>
      <c r="J16" s="198">
        <f t="shared" si="5"/>
        <v>846.06363299999998</v>
      </c>
      <c r="K16" s="12">
        <f t="shared" si="6"/>
        <v>3.0103669560576408E-2</v>
      </c>
      <c r="L16" s="13">
        <f t="shared" si="7"/>
        <v>2</v>
      </c>
      <c r="M16" s="13">
        <f t="shared" si="8"/>
        <v>115.8</v>
      </c>
      <c r="N16" s="13">
        <f t="shared" si="9"/>
        <v>28.1</v>
      </c>
      <c r="O16" s="33">
        <f t="shared" si="10"/>
        <v>4339231.4387916001</v>
      </c>
      <c r="P16" s="33">
        <f t="shared" si="11"/>
        <v>1886622.364692</v>
      </c>
      <c r="R16" s="106"/>
    </row>
    <row r="17" spans="1:19" x14ac:dyDescent="0.35">
      <c r="A17" s="9" t="s">
        <v>7</v>
      </c>
      <c r="B17" s="9">
        <f>Assumptions!$F$23*Assumptions!D5</f>
        <v>3726</v>
      </c>
      <c r="C17" s="196">
        <f>VLOOKUP($B$4,'FPL Limits'!$J$3:$P$23,5,FALSE)</f>
        <v>33215</v>
      </c>
      <c r="D17" s="33">
        <f t="shared" si="0"/>
        <v>1990.7379599999999</v>
      </c>
      <c r="E17" s="197">
        <f t="shared" si="2"/>
        <v>5.9934907722414568E-2</v>
      </c>
      <c r="F17" s="197">
        <f t="shared" si="1"/>
        <v>0.02</v>
      </c>
      <c r="G17" s="198">
        <f t="shared" si="3"/>
        <v>664.30000000000007</v>
      </c>
      <c r="H17" s="198">
        <f t="shared" si="4"/>
        <v>1326.4379599999997</v>
      </c>
      <c r="I17" s="131">
        <f>I15</f>
        <v>0.57499999999999996</v>
      </c>
      <c r="J17" s="198">
        <f t="shared" si="5"/>
        <v>846.06363299999998</v>
      </c>
      <c r="K17" s="12">
        <f t="shared" si="6"/>
        <v>2.5472335782026193E-2</v>
      </c>
      <c r="L17" s="13">
        <f t="shared" si="7"/>
        <v>2</v>
      </c>
      <c r="M17" s="13">
        <f t="shared" si="8"/>
        <v>115.8</v>
      </c>
      <c r="N17" s="13">
        <f t="shared" si="9"/>
        <v>28.1</v>
      </c>
      <c r="O17" s="33">
        <f t="shared" si="10"/>
        <v>4265056.5424020002</v>
      </c>
      <c r="P17" s="33">
        <f t="shared" si="11"/>
        <v>1854372.40974</v>
      </c>
      <c r="R17" s="106"/>
    </row>
    <row r="18" spans="1:19" x14ac:dyDescent="0.35">
      <c r="A18" s="9" t="s">
        <v>150</v>
      </c>
      <c r="B18" s="9">
        <f>Assumptions!$F$23*Assumptions!D6</f>
        <v>3402</v>
      </c>
      <c r="C18" s="196">
        <f>VLOOKUP($B$4,'FPL Limits'!$J$3:$P$23,6,FALSE)</f>
        <v>38325</v>
      </c>
      <c r="D18" s="33">
        <f t="shared" si="0"/>
        <v>1990.7379599999999</v>
      </c>
      <c r="E18" s="197">
        <f t="shared" si="2"/>
        <v>5.1943586692759294E-2</v>
      </c>
      <c r="F18" s="197">
        <f t="shared" si="1"/>
        <v>0.02</v>
      </c>
      <c r="G18" s="198">
        <f t="shared" si="3"/>
        <v>766.5</v>
      </c>
      <c r="H18" s="198">
        <f t="shared" si="4"/>
        <v>1224.2379599999999</v>
      </c>
      <c r="I18" s="131">
        <f>I15</f>
        <v>0.57499999999999996</v>
      </c>
      <c r="J18" s="198">
        <f t="shared" si="5"/>
        <v>846.06363299999998</v>
      </c>
      <c r="K18" s="12">
        <f t="shared" si="6"/>
        <v>2.2076024344422702E-2</v>
      </c>
      <c r="L18" s="13">
        <f t="shared" si="7"/>
        <v>2</v>
      </c>
      <c r="M18" s="13">
        <f t="shared" si="8"/>
        <v>115.8</v>
      </c>
      <c r="N18" s="13">
        <f t="shared" si="9"/>
        <v>28.1</v>
      </c>
      <c r="O18" s="33">
        <f t="shared" si="10"/>
        <v>3894182.0604539998</v>
      </c>
      <c r="P18" s="33">
        <f t="shared" si="11"/>
        <v>1693122.6349799999</v>
      </c>
      <c r="R18" s="106"/>
    </row>
    <row r="19" spans="1:19" x14ac:dyDescent="0.35">
      <c r="A19" s="9" t="s">
        <v>9</v>
      </c>
      <c r="B19" s="9">
        <f>Assumptions!$F$23*Assumptions!D7</f>
        <v>9234</v>
      </c>
      <c r="C19" s="196">
        <f>VLOOKUP($B$4,'FPL Limits'!$J$3:$P$23,7,FALSE)</f>
        <v>52606.5</v>
      </c>
      <c r="D19" s="33">
        <f t="shared" si="0"/>
        <v>1990.7379599999999</v>
      </c>
      <c r="E19" s="197">
        <f t="shared" si="2"/>
        <v>3.7842052978244133E-2</v>
      </c>
      <c r="F19" s="197">
        <f t="shared" si="1"/>
        <v>0.02</v>
      </c>
      <c r="G19" s="198">
        <f t="shared" si="3"/>
        <v>1052.1300000000001</v>
      </c>
      <c r="H19" s="198">
        <f t="shared" si="4"/>
        <v>938.60795999999982</v>
      </c>
      <c r="I19" s="131">
        <v>0.25</v>
      </c>
      <c r="J19" s="198">
        <f t="shared" si="5"/>
        <v>1493.0534699999998</v>
      </c>
      <c r="K19" s="12">
        <f t="shared" si="6"/>
        <v>2.8381539733683098E-2</v>
      </c>
      <c r="L19" s="13">
        <f t="shared" si="7"/>
        <v>2</v>
      </c>
      <c r="M19" s="13">
        <f t="shared" si="8"/>
        <v>115.8</v>
      </c>
      <c r="N19" s="140">
        <f t="shared" si="9"/>
        <v>28.1</v>
      </c>
      <c r="O19" s="141">
        <f t="shared" si="10"/>
        <v>4595618.5806600004</v>
      </c>
      <c r="P19" s="141">
        <f t="shared" si="11"/>
        <v>4595618.5806599995</v>
      </c>
      <c r="R19" s="106"/>
    </row>
    <row r="20" spans="1:19" x14ac:dyDescent="0.35">
      <c r="A20" s="34"/>
      <c r="B20" s="34"/>
      <c r="C20" s="35"/>
      <c r="D20" s="36"/>
      <c r="E20" s="37"/>
      <c r="F20" s="37"/>
      <c r="G20" s="15"/>
      <c r="H20" s="15"/>
      <c r="I20" s="38"/>
      <c r="J20" s="15"/>
      <c r="K20" s="39"/>
      <c r="L20" s="40"/>
      <c r="M20" s="40"/>
      <c r="N20" s="13" t="s">
        <v>151</v>
      </c>
      <c r="O20" s="139">
        <f>SUM(O14:O19)</f>
        <v>36563386.426829994</v>
      </c>
      <c r="P20" s="139">
        <f>SUM(P14:P19)</f>
        <v>16124977.476</v>
      </c>
    </row>
    <row r="21" spans="1:19" x14ac:dyDescent="0.35"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O21" s="142" t="s">
        <v>169</v>
      </c>
      <c r="P21" s="139">
        <f>O20-P20</f>
        <v>20438408.950829994</v>
      </c>
      <c r="Q21" s="143">
        <f>P21/P20</f>
        <v>1.2674999999999996</v>
      </c>
    </row>
    <row r="22" spans="1:19" x14ac:dyDescent="0.35">
      <c r="S22" s="45"/>
    </row>
    <row r="23" spans="1:19" x14ac:dyDescent="0.35">
      <c r="A23" s="7" t="s">
        <v>186</v>
      </c>
    </row>
    <row r="25" spans="1:19" x14ac:dyDescent="0.35">
      <c r="A25" s="1" t="s">
        <v>187</v>
      </c>
      <c r="B25" s="25">
        <v>45597</v>
      </c>
      <c r="C25" s="25">
        <v>45413</v>
      </c>
    </row>
    <row r="26" spans="1:19" x14ac:dyDescent="0.35">
      <c r="A26" t="s">
        <v>154</v>
      </c>
      <c r="B26" s="17">
        <v>10</v>
      </c>
      <c r="C26" s="17">
        <v>10</v>
      </c>
      <c r="F26" s="87"/>
      <c r="G26" s="87"/>
      <c r="H26" s="87"/>
    </row>
    <row r="27" spans="1:19" x14ac:dyDescent="0.35">
      <c r="A27" t="s">
        <v>188</v>
      </c>
      <c r="B27" s="90">
        <v>5.6099999999999997E-2</v>
      </c>
      <c r="C27" s="90">
        <v>5.3199999999999997E-2</v>
      </c>
      <c r="F27" s="87"/>
      <c r="G27" s="87"/>
      <c r="H27" s="87"/>
    </row>
    <row r="28" spans="1:19" x14ac:dyDescent="0.35">
      <c r="A28" t="s">
        <v>189</v>
      </c>
      <c r="B28" s="26">
        <v>1.5577999999999999</v>
      </c>
      <c r="C28" s="26">
        <v>1.2456</v>
      </c>
      <c r="F28" s="39"/>
      <c r="G28" s="39"/>
      <c r="H28" s="39"/>
    </row>
    <row r="29" spans="1:19" ht="16" x14ac:dyDescent="0.5">
      <c r="A29" s="20" t="s">
        <v>190</v>
      </c>
      <c r="B29" s="27">
        <v>0.76390000000000002</v>
      </c>
      <c r="C29" s="27">
        <v>0.28239999999999998</v>
      </c>
      <c r="F29" s="39"/>
      <c r="G29" s="39"/>
      <c r="H29" s="39"/>
    </row>
    <row r="30" spans="1:19" x14ac:dyDescent="0.35">
      <c r="A30" t="s">
        <v>191</v>
      </c>
      <c r="B30" s="26">
        <f>B31-B27</f>
        <v>2.3216999999999999</v>
      </c>
      <c r="C30" s="26">
        <f>C31-C27</f>
        <v>1.528</v>
      </c>
    </row>
    <row r="31" spans="1:19" x14ac:dyDescent="0.35">
      <c r="A31" t="s">
        <v>192</v>
      </c>
      <c r="B31" s="26">
        <f>SUM(B27:B29)</f>
        <v>2.3777999999999997</v>
      </c>
      <c r="C31" s="26">
        <f>SUM(C27:C29)</f>
        <v>1.5811999999999999</v>
      </c>
      <c r="F31" s="39"/>
      <c r="G31" s="39"/>
      <c r="H31" s="39"/>
    </row>
    <row r="32" spans="1:19" x14ac:dyDescent="0.35">
      <c r="A32" t="s">
        <v>160</v>
      </c>
      <c r="B32" s="86">
        <f>B27/B31</f>
        <v>2.3593237446379006E-2</v>
      </c>
      <c r="C32" s="86">
        <f>C27/C31</f>
        <v>3.3645332658740194E-2</v>
      </c>
      <c r="F32" s="19"/>
      <c r="G32" s="19"/>
      <c r="H32" s="19"/>
    </row>
    <row r="33" spans="1:8" x14ac:dyDescent="0.35">
      <c r="B33" s="86"/>
      <c r="C33" s="86"/>
      <c r="F33" s="19"/>
      <c r="G33" s="19"/>
      <c r="H33" s="19"/>
    </row>
    <row r="34" spans="1:8" x14ac:dyDescent="0.35">
      <c r="A34" t="s">
        <v>193</v>
      </c>
      <c r="F34" s="39"/>
      <c r="G34" s="39"/>
      <c r="H34" s="39"/>
    </row>
    <row r="35" spans="1:8" x14ac:dyDescent="0.35">
      <c r="A35" t="s">
        <v>162</v>
      </c>
      <c r="B35" s="64">
        <f>B27+(B27*Q21)</f>
        <v>0.12720674999999998</v>
      </c>
      <c r="C35" s="64">
        <f>C27+(C27*Q21)</f>
        <v>0.12063099999999997</v>
      </c>
    </row>
    <row r="36" spans="1:8" x14ac:dyDescent="0.35">
      <c r="A36" t="s">
        <v>191</v>
      </c>
      <c r="B36" s="64">
        <f>B30</f>
        <v>2.3216999999999999</v>
      </c>
      <c r="C36" s="64">
        <f>C30</f>
        <v>1.528</v>
      </c>
    </row>
    <row r="37" spans="1:8" x14ac:dyDescent="0.35">
      <c r="A37" t="s">
        <v>194</v>
      </c>
      <c r="B37" s="64">
        <f>B35+B36</f>
        <v>2.4489067499999999</v>
      </c>
      <c r="C37" s="64">
        <f>C35+C36</f>
        <v>1.648631</v>
      </c>
    </row>
    <row r="38" spans="1:8" x14ac:dyDescent="0.35">
      <c r="A38" t="s">
        <v>164</v>
      </c>
      <c r="B38" s="86">
        <f>B35/B37</f>
        <v>5.1944301268310844E-2</v>
      </c>
      <c r="C38" s="86">
        <f>C35/C37</f>
        <v>7.3170406234020824E-2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A828-5F4B-4976-87F0-7825E1337EF9}">
  <sheetPr>
    <tabColor theme="7" tint="0.79998168889431442"/>
  </sheetPr>
  <dimension ref="A1:Q38"/>
  <sheetViews>
    <sheetView zoomScale="91" zoomScaleNormal="90" workbookViewId="0">
      <selection activeCell="K14" sqref="K14:K19"/>
    </sheetView>
  </sheetViews>
  <sheetFormatPr defaultRowHeight="14.5" x14ac:dyDescent="0.35"/>
  <cols>
    <col min="1" max="1" width="39.453125" bestFit="1" customWidth="1"/>
    <col min="2" max="2" width="12.1796875" bestFit="1" customWidth="1"/>
    <col min="3" max="3" width="11.81640625" bestFit="1" customWidth="1"/>
    <col min="4" max="5" width="10.81640625" customWidth="1"/>
    <col min="6" max="6" width="12.453125" customWidth="1"/>
    <col min="7" max="12" width="10.81640625" customWidth="1"/>
    <col min="13" max="13" width="11" customWidth="1"/>
    <col min="14" max="14" width="9.26953125" bestFit="1" customWidth="1"/>
    <col min="15" max="15" width="13.54296875" customWidth="1"/>
    <col min="16" max="16" width="10.54296875" bestFit="1" customWidth="1"/>
  </cols>
  <sheetData>
    <row r="1" spans="1:16" x14ac:dyDescent="0.35">
      <c r="A1" s="29" t="s">
        <v>195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6">
        <f>IF(SUMMARY!C3=Assumptions!B53,Assumptions!E34,(IF(SUMMARY!C3=Assumptions!B54,Assumptions!I34,(IF(SUMMARY!C3=Assumptions!B55,Assumptions!I49,(IF(SUMMARY!C3=Assumptions!B56,Assumptions!E41,(IF(SUMMARY!C3=Assumptions!B57,Assumptions!I41,0)))))))))</f>
        <v>24.2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IF(SUMMARY!C3=Assumptions!B53,Assumptions!E36,(IF(SUMMARY!C3=Assumptions!B54,Assumptions!I36,(IF(SUMMARY!C3=Assumptions!B55,Assumptions!I49,(IF(SUMMARY!C3=Assumptions!B56,Assumptions!E43,(IF(SUMMARY!C3=Assumptions!B57,Assumptions!I43,0)))))))))</f>
        <v>15</v>
      </c>
      <c r="C6" s="145"/>
      <c r="D6" s="145"/>
    </row>
    <row r="7" spans="1:16" x14ac:dyDescent="0.35">
      <c r="A7" s="145" t="s">
        <v>131</v>
      </c>
      <c r="B7" s="146">
        <f>SUMMARY!L5</f>
        <v>5.0000000000000001E-3</v>
      </c>
      <c r="C7" s="145"/>
      <c r="D7" s="145"/>
    </row>
    <row r="9" spans="1:16" x14ac:dyDescent="0.35">
      <c r="A9" t="s">
        <v>181</v>
      </c>
    </row>
    <row r="10" spans="1:16" x14ac:dyDescent="0.35">
      <c r="A10" t="s">
        <v>133</v>
      </c>
    </row>
    <row r="11" spans="1:16" x14ac:dyDescent="0.35">
      <c r="A11" t="s">
        <v>196</v>
      </c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Assumptions!$D$23*Assumptions!D2</f>
        <v>530.92000000000007</v>
      </c>
      <c r="C14" s="196">
        <f>VLOOKUP($B$4,'FPL Limits'!$J$3:$P$23,2,FALSE)</f>
        <v>10220</v>
      </c>
      <c r="D14" s="33">
        <f t="shared" ref="D14:D19" si="0">((($B$30*M14)+$B$26)*6+(($C$30*N14)+$C$26)*6)</f>
        <v>688.6797600000001</v>
      </c>
      <c r="E14" s="197">
        <f>D14/C14</f>
        <v>6.7385495107632101E-2</v>
      </c>
      <c r="F14" s="10">
        <f t="shared" ref="F14:F19" si="1">$B$7</f>
        <v>5.0000000000000001E-3</v>
      </c>
      <c r="G14" s="198">
        <f>C14*F14</f>
        <v>51.1</v>
      </c>
      <c r="H14" s="198">
        <f>IF(D14-G14&lt;0,0,D14-G14)</f>
        <v>637.57976000000008</v>
      </c>
      <c r="I14" s="131">
        <f>MAX(ROUND(H14/D14,2),25%)</f>
        <v>0.93</v>
      </c>
      <c r="J14" s="198">
        <f>D14-(D14*I14)</f>
        <v>48.207583199999931</v>
      </c>
      <c r="K14" s="12">
        <f>J14/C14</f>
        <v>4.7169846575342402E-3</v>
      </c>
      <c r="L14" s="13">
        <f>$B$4</f>
        <v>2</v>
      </c>
      <c r="M14" s="13">
        <f>$B$5</f>
        <v>24.2</v>
      </c>
      <c r="N14" s="13">
        <f>$B$6</f>
        <v>15</v>
      </c>
      <c r="O14" s="33">
        <f>B14*(D14-J14)</f>
        <v>340039.48810665612</v>
      </c>
      <c r="P14" s="33">
        <f>B14*D14*0.25</f>
        <v>91408.464544800023</v>
      </c>
    </row>
    <row r="15" spans="1:16" x14ac:dyDescent="0.35">
      <c r="A15" s="9" t="s">
        <v>5</v>
      </c>
      <c r="B15" s="9">
        <f>Assumptions!$D$23*Assumptions!D3</f>
        <v>240.95599999999999</v>
      </c>
      <c r="C15" s="196">
        <f>VLOOKUP($B$4,'FPL Limits'!$J$3:$P$23,3,FALSE)</f>
        <v>22995</v>
      </c>
      <c r="D15" s="33">
        <f t="shared" si="0"/>
        <v>688.6797600000001</v>
      </c>
      <c r="E15" s="197">
        <f t="shared" ref="E15:E19" si="2">D15/C15</f>
        <v>2.994910893672538E-2</v>
      </c>
      <c r="F15" s="10">
        <f t="shared" si="1"/>
        <v>5.0000000000000001E-3</v>
      </c>
      <c r="G15" s="198">
        <f t="shared" ref="G15:G19" si="3">C15*F15</f>
        <v>114.97500000000001</v>
      </c>
      <c r="H15" s="198">
        <f t="shared" ref="H15:H19" si="4">IF(D15-G15&lt;0,0,D15-G15)</f>
        <v>573.70476000000008</v>
      </c>
      <c r="I15" s="131">
        <f>AVERAGE(I14,I19)</f>
        <v>0.59000000000000008</v>
      </c>
      <c r="J15" s="198">
        <f t="shared" ref="J15:J19" si="5">D15-(D15*I15)</f>
        <v>282.35870159999996</v>
      </c>
      <c r="K15" s="12">
        <f t="shared" ref="K15:K19" si="6">J15/C15</f>
        <v>1.2279134664057402E-2</v>
      </c>
      <c r="L15" s="13">
        <f t="shared" ref="L15:L19" si="7">$B$4</f>
        <v>2</v>
      </c>
      <c r="M15" s="13">
        <f t="shared" ref="M15:M19" si="8">$B$5</f>
        <v>24.2</v>
      </c>
      <c r="N15" s="13">
        <f t="shared" ref="N15:N19" si="9">$B$6</f>
        <v>15</v>
      </c>
      <c r="O15" s="33">
        <f t="shared" ref="O15:O19" si="10">B15*(D15-J15)</f>
        <v>97905.496947830427</v>
      </c>
      <c r="P15" s="33">
        <f t="shared" ref="P15:P19" si="11">B15*D15*0.25</f>
        <v>41485.380062640004</v>
      </c>
    </row>
    <row r="16" spans="1:16" x14ac:dyDescent="0.35">
      <c r="A16" s="9" t="s">
        <v>6</v>
      </c>
      <c r="B16" s="9">
        <f>Assumptions!$D$23*Assumptions!D4</f>
        <v>238.91400000000002</v>
      </c>
      <c r="C16" s="196">
        <f>VLOOKUP($B$4,'FPL Limits'!$J$3:$P$23,4,FALSE)</f>
        <v>28105</v>
      </c>
      <c r="D16" s="33">
        <f t="shared" si="0"/>
        <v>688.6797600000001</v>
      </c>
      <c r="E16" s="197">
        <f t="shared" si="2"/>
        <v>2.4503816402775311E-2</v>
      </c>
      <c r="F16" s="10">
        <f t="shared" si="1"/>
        <v>5.0000000000000001E-3</v>
      </c>
      <c r="G16" s="198">
        <f t="shared" si="3"/>
        <v>140.52500000000001</v>
      </c>
      <c r="H16" s="198">
        <f t="shared" si="4"/>
        <v>548.15476000000012</v>
      </c>
      <c r="I16" s="131">
        <f>I15</f>
        <v>0.59000000000000008</v>
      </c>
      <c r="J16" s="198">
        <f t="shared" si="5"/>
        <v>282.35870159999996</v>
      </c>
      <c r="K16" s="12">
        <f t="shared" si="6"/>
        <v>1.0046564725137874E-2</v>
      </c>
      <c r="L16" s="13">
        <f t="shared" si="7"/>
        <v>2</v>
      </c>
      <c r="M16" s="13">
        <f t="shared" si="8"/>
        <v>24.2</v>
      </c>
      <c r="N16" s="13">
        <f t="shared" si="9"/>
        <v>15</v>
      </c>
      <c r="O16" s="33">
        <f t="shared" si="10"/>
        <v>97075.789346577643</v>
      </c>
      <c r="P16" s="33">
        <f t="shared" si="11"/>
        <v>41133.809045160007</v>
      </c>
    </row>
    <row r="17" spans="1:17" x14ac:dyDescent="0.35">
      <c r="A17" s="9" t="s">
        <v>7</v>
      </c>
      <c r="B17" s="9">
        <f>Assumptions!$D$23*Assumptions!D5</f>
        <v>234.83</v>
      </c>
      <c r="C17" s="196">
        <f>VLOOKUP($B$4,'FPL Limits'!$J$3:$P$23,5,FALSE)</f>
        <v>33215</v>
      </c>
      <c r="D17" s="33">
        <f t="shared" si="0"/>
        <v>688.6797600000001</v>
      </c>
      <c r="E17" s="197">
        <f t="shared" si="2"/>
        <v>2.0733998494656031E-2</v>
      </c>
      <c r="F17" s="10">
        <f t="shared" si="1"/>
        <v>5.0000000000000001E-3</v>
      </c>
      <c r="G17" s="198">
        <f t="shared" si="3"/>
        <v>166.07500000000002</v>
      </c>
      <c r="H17" s="198">
        <f t="shared" si="4"/>
        <v>522.60476000000006</v>
      </c>
      <c r="I17" s="131">
        <f>I15</f>
        <v>0.59000000000000008</v>
      </c>
      <c r="J17" s="198">
        <f t="shared" si="5"/>
        <v>282.35870159999996</v>
      </c>
      <c r="K17" s="12">
        <f t="shared" si="6"/>
        <v>8.500939382808971E-3</v>
      </c>
      <c r="L17" s="13">
        <f t="shared" si="7"/>
        <v>2</v>
      </c>
      <c r="M17" s="13">
        <f t="shared" si="8"/>
        <v>24.2</v>
      </c>
      <c r="N17" s="13">
        <f t="shared" si="9"/>
        <v>15</v>
      </c>
      <c r="O17" s="33">
        <f t="shared" si="10"/>
        <v>95416.374144072033</v>
      </c>
      <c r="P17" s="33">
        <f t="shared" si="11"/>
        <v>40430.667010200006</v>
      </c>
    </row>
    <row r="18" spans="1:17" x14ac:dyDescent="0.35">
      <c r="A18" s="9" t="s">
        <v>150</v>
      </c>
      <c r="B18" s="9">
        <f>Assumptions!$D$23*Assumptions!D6</f>
        <v>214.41</v>
      </c>
      <c r="C18" s="196">
        <f>VLOOKUP($B$4,'FPL Limits'!$J$3:$P$23,6,FALSE)</f>
        <v>38325</v>
      </c>
      <c r="D18" s="33">
        <f t="shared" si="0"/>
        <v>688.6797600000001</v>
      </c>
      <c r="E18" s="197">
        <f t="shared" si="2"/>
        <v>1.7969465362035229E-2</v>
      </c>
      <c r="F18" s="10">
        <f t="shared" si="1"/>
        <v>5.0000000000000001E-3</v>
      </c>
      <c r="G18" s="198">
        <f t="shared" si="3"/>
        <v>191.625</v>
      </c>
      <c r="H18" s="198">
        <f t="shared" si="4"/>
        <v>497.0547600000001</v>
      </c>
      <c r="I18" s="131">
        <f>I15</f>
        <v>0.59000000000000008</v>
      </c>
      <c r="J18" s="198">
        <f t="shared" si="5"/>
        <v>282.35870159999996</v>
      </c>
      <c r="K18" s="12">
        <f t="shared" si="6"/>
        <v>7.367480798434441E-3</v>
      </c>
      <c r="L18" s="13">
        <f t="shared" si="7"/>
        <v>2</v>
      </c>
      <c r="M18" s="13">
        <f t="shared" si="8"/>
        <v>24.2</v>
      </c>
      <c r="N18" s="13">
        <f t="shared" si="9"/>
        <v>15</v>
      </c>
      <c r="O18" s="33">
        <f t="shared" si="10"/>
        <v>87119.298131544027</v>
      </c>
      <c r="P18" s="33">
        <f t="shared" si="11"/>
        <v>36914.956835400008</v>
      </c>
    </row>
    <row r="19" spans="1:17" x14ac:dyDescent="0.35">
      <c r="A19" s="9" t="s">
        <v>9</v>
      </c>
      <c r="B19" s="9">
        <f>Assumptions!$D$23*Assumptions!D7</f>
        <v>581.96999999999991</v>
      </c>
      <c r="C19" s="196">
        <f>VLOOKUP($B$4,'FPL Limits'!$J$3:$P$23,7,FALSE)</f>
        <v>52606.5</v>
      </c>
      <c r="D19" s="33">
        <f t="shared" si="0"/>
        <v>688.6797600000001</v>
      </c>
      <c r="E19" s="197">
        <f t="shared" si="2"/>
        <v>1.3091153374582991E-2</v>
      </c>
      <c r="F19" s="10">
        <f t="shared" si="1"/>
        <v>5.0000000000000001E-3</v>
      </c>
      <c r="G19" s="198">
        <f t="shared" si="3"/>
        <v>263.03250000000003</v>
      </c>
      <c r="H19" s="198">
        <f t="shared" si="4"/>
        <v>425.64726000000007</v>
      </c>
      <c r="I19" s="131">
        <v>0.25</v>
      </c>
      <c r="J19" s="198">
        <f t="shared" si="5"/>
        <v>516.5098200000001</v>
      </c>
      <c r="K19" s="12">
        <f t="shared" si="6"/>
        <v>9.8183650309372431E-3</v>
      </c>
      <c r="L19" s="13">
        <f t="shared" si="7"/>
        <v>2</v>
      </c>
      <c r="M19" s="13">
        <f t="shared" si="8"/>
        <v>24.2</v>
      </c>
      <c r="N19" s="140">
        <f t="shared" si="9"/>
        <v>15</v>
      </c>
      <c r="O19" s="141">
        <f t="shared" si="10"/>
        <v>100197.73998179998</v>
      </c>
      <c r="P19" s="141">
        <f t="shared" si="11"/>
        <v>100197.7399818</v>
      </c>
    </row>
    <row r="20" spans="1:17" x14ac:dyDescent="0.35">
      <c r="A20" s="34"/>
      <c r="B20" s="34"/>
      <c r="C20" s="35"/>
      <c r="D20" s="200"/>
      <c r="E20" s="37"/>
      <c r="F20" s="37"/>
      <c r="G20" s="15"/>
      <c r="H20" s="15"/>
      <c r="I20" s="38"/>
      <c r="J20" s="15"/>
      <c r="K20" s="39"/>
      <c r="L20" s="40"/>
      <c r="M20" s="40"/>
      <c r="N20" s="13" t="s">
        <v>151</v>
      </c>
      <c r="O20" s="139">
        <f>SUM(O14:O19)</f>
        <v>817754.1866584802</v>
      </c>
      <c r="P20" s="139">
        <f>SUM(P14:P19)</f>
        <v>351571.01748000004</v>
      </c>
    </row>
    <row r="21" spans="1:17" x14ac:dyDescent="0.35"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O21" s="142" t="s">
        <v>169</v>
      </c>
      <c r="P21" s="139">
        <f>O20-P20</f>
        <v>466183.16917848017</v>
      </c>
      <c r="Q21" s="143">
        <f>P21/P20</f>
        <v>1.3260000000000003</v>
      </c>
    </row>
    <row r="23" spans="1:17" x14ac:dyDescent="0.35">
      <c r="A23" s="7" t="s">
        <v>186</v>
      </c>
    </row>
    <row r="25" spans="1:17" x14ac:dyDescent="0.35">
      <c r="A25" s="1" t="s">
        <v>197</v>
      </c>
      <c r="B25" s="25">
        <v>45597</v>
      </c>
      <c r="C25" s="25">
        <v>45413</v>
      </c>
      <c r="F25" s="1"/>
      <c r="G25" s="25"/>
      <c r="H25" s="25"/>
    </row>
    <row r="26" spans="1:17" x14ac:dyDescent="0.35">
      <c r="A26" t="s">
        <v>154</v>
      </c>
      <c r="B26" s="14">
        <v>9.75</v>
      </c>
      <c r="C26" s="14">
        <v>9.75</v>
      </c>
      <c r="G26" s="89"/>
      <c r="H26" s="89"/>
    </row>
    <row r="27" spans="1:17" x14ac:dyDescent="0.35">
      <c r="A27" t="s">
        <v>188</v>
      </c>
      <c r="B27" s="90">
        <v>5.6099999999999997E-2</v>
      </c>
      <c r="C27" s="90">
        <v>5.3199999999999997E-2</v>
      </c>
      <c r="G27" s="90"/>
      <c r="H27" s="90"/>
    </row>
    <row r="28" spans="1:17" x14ac:dyDescent="0.35">
      <c r="A28" t="s">
        <v>189</v>
      </c>
      <c r="B28" s="26">
        <v>1.9749000000000001</v>
      </c>
      <c r="C28" s="26">
        <v>1.651</v>
      </c>
      <c r="G28" s="91"/>
      <c r="H28" s="91"/>
    </row>
    <row r="29" spans="1:17" ht="16" x14ac:dyDescent="0.5">
      <c r="A29" s="20" t="s">
        <v>190</v>
      </c>
      <c r="B29" s="27">
        <v>0.76390000000000002</v>
      </c>
      <c r="C29" s="27">
        <v>0.28239999999999998</v>
      </c>
      <c r="F29" s="20"/>
      <c r="G29" s="92"/>
      <c r="H29" s="92"/>
    </row>
    <row r="30" spans="1:17" x14ac:dyDescent="0.35">
      <c r="A30" t="s">
        <v>191</v>
      </c>
      <c r="B30" s="28">
        <f>B28+B29</f>
        <v>2.7388000000000003</v>
      </c>
      <c r="C30" s="28">
        <f>C28+C29</f>
        <v>1.9334</v>
      </c>
      <c r="G30" s="91"/>
      <c r="H30" s="91"/>
    </row>
    <row r="31" spans="1:17" x14ac:dyDescent="0.35">
      <c r="A31" t="s">
        <v>192</v>
      </c>
      <c r="B31" s="91">
        <f>SUM(B27:B29)</f>
        <v>2.7949000000000002</v>
      </c>
      <c r="C31" s="91">
        <f>SUM(C27:C29)</f>
        <v>1.9865999999999999</v>
      </c>
      <c r="G31" s="91"/>
      <c r="H31" s="91"/>
    </row>
    <row r="32" spans="1:17" x14ac:dyDescent="0.35">
      <c r="A32" t="s">
        <v>160</v>
      </c>
      <c r="B32" s="86">
        <f>B27/B31</f>
        <v>2.0072274499982109E-2</v>
      </c>
      <c r="C32" s="86">
        <f>C27/C31</f>
        <v>2.6779422128259338E-2</v>
      </c>
      <c r="G32" s="86"/>
      <c r="H32" s="86"/>
    </row>
    <row r="33" spans="1:8" x14ac:dyDescent="0.35">
      <c r="G33" s="86"/>
      <c r="H33" s="86"/>
    </row>
    <row r="34" spans="1:8" x14ac:dyDescent="0.35">
      <c r="A34" t="s">
        <v>193</v>
      </c>
    </row>
    <row r="35" spans="1:8" x14ac:dyDescent="0.35">
      <c r="A35" t="s">
        <v>162</v>
      </c>
      <c r="B35" s="64">
        <f>B27+(B27*Q21)</f>
        <v>0.13048860000000001</v>
      </c>
      <c r="C35" s="64">
        <f>C27+(C27*Q21)</f>
        <v>0.12374320000000001</v>
      </c>
      <c r="G35" s="64"/>
      <c r="H35" s="64"/>
    </row>
    <row r="36" spans="1:8" x14ac:dyDescent="0.35">
      <c r="A36" t="s">
        <v>191</v>
      </c>
      <c r="B36" s="64">
        <f>B30</f>
        <v>2.7388000000000003</v>
      </c>
      <c r="C36" s="64">
        <f>C30</f>
        <v>1.9334</v>
      </c>
      <c r="G36" s="64"/>
      <c r="H36" s="64"/>
    </row>
    <row r="37" spans="1:8" x14ac:dyDescent="0.35">
      <c r="A37" t="s">
        <v>194</v>
      </c>
      <c r="B37" s="64">
        <f>B35+B36</f>
        <v>2.8692886000000004</v>
      </c>
      <c r="C37" s="64">
        <f>C35+C36</f>
        <v>2.0571432000000001</v>
      </c>
      <c r="G37" s="64"/>
      <c r="H37" s="64"/>
    </row>
    <row r="38" spans="1:8" x14ac:dyDescent="0.35">
      <c r="A38" t="s">
        <v>164</v>
      </c>
      <c r="B38" s="86">
        <f>B35/B37</f>
        <v>4.5477683910917846E-2</v>
      </c>
      <c r="C38" s="86">
        <f>C35/C37</f>
        <v>6.0152934418955376E-2</v>
      </c>
      <c r="G38" s="86"/>
      <c r="H38" s="8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BE7E-BAD7-44B0-9455-2FAE2BEC5DF7}">
  <sheetPr>
    <tabColor theme="7" tint="-0.249977111117893"/>
  </sheetPr>
  <dimension ref="A1:Q40"/>
  <sheetViews>
    <sheetView workbookViewId="0">
      <selection activeCell="K14" sqref="K14:K19"/>
    </sheetView>
  </sheetViews>
  <sheetFormatPr defaultRowHeight="14.5" x14ac:dyDescent="0.35"/>
  <cols>
    <col min="1" max="1" width="39.453125" bestFit="1" customWidth="1"/>
    <col min="2" max="2" width="9.7265625" bestFit="1" customWidth="1"/>
    <col min="3" max="5" width="10.81640625" customWidth="1"/>
    <col min="6" max="6" width="11.453125" customWidth="1"/>
    <col min="7" max="13" width="10.81640625" customWidth="1"/>
    <col min="15" max="15" width="15.26953125" customWidth="1"/>
    <col min="16" max="16" width="12.54296875" bestFit="1" customWidth="1"/>
  </cols>
  <sheetData>
    <row r="1" spans="1:16" x14ac:dyDescent="0.35">
      <c r="A1" s="29" t="s">
        <v>198</v>
      </c>
    </row>
    <row r="3" spans="1:16" x14ac:dyDescent="0.35">
      <c r="A3" s="145" t="s">
        <v>128</v>
      </c>
    </row>
    <row r="4" spans="1:16" x14ac:dyDescent="0.35">
      <c r="A4" s="145" t="s">
        <v>129</v>
      </c>
      <c r="B4" s="176">
        <f>SUMMARY!C5</f>
        <v>2</v>
      </c>
      <c r="C4" s="145"/>
      <c r="D4" s="145"/>
    </row>
    <row r="5" spans="1:16" x14ac:dyDescent="0.35">
      <c r="A5" s="145" t="s">
        <v>179</v>
      </c>
      <c r="B5" s="178">
        <f>IF(SUMMARY!C3=Assumptions!B53,Assumptions!F35,(IF(SUMMARY!C3=Assumptions!B54,Assumptions!I35,(IF(SUMMARY!C3=Assumptions!B55,Assumptions!I47,(IF(SUMMARY!C3=Assumptions!B56,Assumptions!F42,(IF(SUMMARY!C3=Assumptions!B57,Assumptions!I42,0)))))))))</f>
        <v>122.5</v>
      </c>
      <c r="C5" s="145" t="str">
        <f>SUMMARY!C3</f>
        <v>mean company</v>
      </c>
      <c r="D5" s="145"/>
    </row>
    <row r="6" spans="1:16" x14ac:dyDescent="0.35">
      <c r="A6" s="145" t="s">
        <v>180</v>
      </c>
      <c r="B6" s="176">
        <f>IF(SUMMARY!C3=Assumptions!B53,Assumptions!E37,(IF(SUMMARY!C3=Assumptions!B54,Assumptions!I37,(IF(SUMMARY!C3=Assumptions!B55,Assumptions!I48,(IF(SUMMARY!C3=Assumptions!B56,Assumptions!E44,(IF(SUMMARY!C3=Assumptions!B57,Assumptions!I44,0)))))))))</f>
        <v>28.1</v>
      </c>
      <c r="C6" s="145"/>
      <c r="D6" s="145"/>
    </row>
    <row r="7" spans="1:16" x14ac:dyDescent="0.35">
      <c r="A7" s="145" t="s">
        <v>131</v>
      </c>
      <c r="B7" s="146">
        <f>SUMMARY!L4</f>
        <v>0.02</v>
      </c>
      <c r="C7" s="145"/>
      <c r="D7" s="145"/>
    </row>
    <row r="9" spans="1:16" x14ac:dyDescent="0.35">
      <c r="A9" t="s">
        <v>199</v>
      </c>
    </row>
    <row r="10" spans="1:16" x14ac:dyDescent="0.35">
      <c r="A10" t="s">
        <v>133</v>
      </c>
    </row>
    <row r="11" spans="1:16" x14ac:dyDescent="0.35">
      <c r="A11" t="s">
        <v>183</v>
      </c>
    </row>
    <row r="13" spans="1:16" ht="87" x14ac:dyDescent="0.35">
      <c r="A13" s="30" t="s">
        <v>135</v>
      </c>
      <c r="B13" s="30" t="s">
        <v>136</v>
      </c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141</v>
      </c>
      <c r="H13" s="30" t="s">
        <v>142</v>
      </c>
      <c r="I13" s="46" t="s">
        <v>143</v>
      </c>
      <c r="J13" s="30" t="s">
        <v>144</v>
      </c>
      <c r="K13" s="30" t="s">
        <v>145</v>
      </c>
      <c r="L13" s="30" t="s">
        <v>146</v>
      </c>
      <c r="M13" s="30" t="s">
        <v>184</v>
      </c>
      <c r="N13" s="30" t="s">
        <v>185</v>
      </c>
      <c r="O13" s="30" t="s">
        <v>168</v>
      </c>
      <c r="P13" s="30" t="s">
        <v>149</v>
      </c>
    </row>
    <row r="14" spans="1:16" x14ac:dyDescent="0.35">
      <c r="A14" s="9" t="s">
        <v>4</v>
      </c>
      <c r="B14" s="9">
        <f>Assumptions!$F$24*Assumptions!D2</f>
        <v>13977.34</v>
      </c>
      <c r="C14" s="196">
        <f>VLOOKUP($B$4,'FPL Limits'!$J$3:$P$23,2,FALSE)</f>
        <v>10220</v>
      </c>
      <c r="D14" s="33">
        <f t="shared" ref="D14:D19" si="0">((($B$30*M14)+$B$26)*6+(($C$30*N14)+$C$26)*6)</f>
        <v>1929.2645400000004</v>
      </c>
      <c r="E14" s="201">
        <f>D14/C14</f>
        <v>0.18877343835616442</v>
      </c>
      <c r="F14" s="201">
        <f t="shared" ref="F14:F19" si="1">$B$7</f>
        <v>0.02</v>
      </c>
      <c r="G14" s="198">
        <f>C14*F14</f>
        <v>204.4</v>
      </c>
      <c r="H14" s="198">
        <f>IF(D14-G14&lt;0,0,D14-G14)</f>
        <v>1724.8645400000003</v>
      </c>
      <c r="I14" s="131">
        <f>MAX(ROUND(H14/D14,2),25%)</f>
        <v>0.89</v>
      </c>
      <c r="J14" s="198">
        <f>D14-(D14*I14)</f>
        <v>212.2190994</v>
      </c>
      <c r="K14" s="12">
        <f>J14/C14</f>
        <v>2.0765078219178081E-2</v>
      </c>
      <c r="L14" s="13">
        <f>$B$4</f>
        <v>2</v>
      </c>
      <c r="M14" s="13">
        <f>$B$5</f>
        <v>122.5</v>
      </c>
      <c r="N14" s="13">
        <f>$B$6</f>
        <v>28.1</v>
      </c>
      <c r="O14" s="33">
        <f>B14*(D14-J14)</f>
        <v>23999727.91871601</v>
      </c>
      <c r="P14" s="33">
        <f>B14*D14*0.25</f>
        <v>6741496.6063809013</v>
      </c>
    </row>
    <row r="15" spans="1:16" x14ac:dyDescent="0.35">
      <c r="A15" s="9" t="s">
        <v>5</v>
      </c>
      <c r="B15" s="9">
        <f>Assumptions!$F$24*Assumptions!D3</f>
        <v>6343.5619999999999</v>
      </c>
      <c r="C15" s="196">
        <f>VLOOKUP($B$4,'FPL Limits'!$J$3:$P$23,3,FALSE)</f>
        <v>22995</v>
      </c>
      <c r="D15" s="33">
        <f t="shared" si="0"/>
        <v>1929.2645400000004</v>
      </c>
      <c r="E15" s="201">
        <f t="shared" ref="E15:E19" si="2">D15/C15</f>
        <v>8.3899305936073074E-2</v>
      </c>
      <c r="F15" s="201">
        <f t="shared" si="1"/>
        <v>0.02</v>
      </c>
      <c r="G15" s="198">
        <f t="shared" ref="G15:G19" si="3">C15*F15</f>
        <v>459.90000000000003</v>
      </c>
      <c r="H15" s="198">
        <f t="shared" ref="H15:H19" si="4">IF(D15-G15&lt;0,0,D15-G15)</f>
        <v>1469.3645400000003</v>
      </c>
      <c r="I15" s="131">
        <f>AVERAGE(I14,I19)</f>
        <v>0.57000000000000006</v>
      </c>
      <c r="J15" s="198">
        <f t="shared" ref="J15:J19" si="5">D15-(D15*I15)</f>
        <v>829.58375219999994</v>
      </c>
      <c r="K15" s="12">
        <f t="shared" ref="K15:K19" si="6">J15/C15</f>
        <v>3.6076701552511414E-2</v>
      </c>
      <c r="L15" s="13">
        <f t="shared" ref="L15:L19" si="7">$B$4</f>
        <v>2</v>
      </c>
      <c r="M15" s="13">
        <f t="shared" ref="M15:M19" si="8">$B$5</f>
        <v>122.5</v>
      </c>
      <c r="N15" s="13">
        <f t="shared" ref="N15:N19" si="9">$B$6</f>
        <v>28.1</v>
      </c>
      <c r="O15" s="33">
        <f t="shared" ref="O15:O19" si="10">B15*(D15-J15)</f>
        <v>6975893.257618146</v>
      </c>
      <c r="P15" s="33">
        <f t="shared" ref="P15:P19" si="11">B15*D15*0.25</f>
        <v>3059602.3059728704</v>
      </c>
    </row>
    <row r="16" spans="1:16" x14ac:dyDescent="0.35">
      <c r="A16" s="9" t="s">
        <v>6</v>
      </c>
      <c r="B16" s="9">
        <f>Assumptions!$F$24*Assumptions!D4</f>
        <v>6289.8030000000008</v>
      </c>
      <c r="C16" s="196">
        <f>VLOOKUP($B$4,'FPL Limits'!$J$3:$P$23,4,FALSE)</f>
        <v>28105</v>
      </c>
      <c r="D16" s="33">
        <f t="shared" si="0"/>
        <v>1929.2645400000004</v>
      </c>
      <c r="E16" s="201">
        <f t="shared" si="2"/>
        <v>6.8644886674968875E-2</v>
      </c>
      <c r="F16" s="201">
        <f t="shared" si="1"/>
        <v>0.02</v>
      </c>
      <c r="G16" s="198">
        <f t="shared" si="3"/>
        <v>562.1</v>
      </c>
      <c r="H16" s="198">
        <f t="shared" si="4"/>
        <v>1367.1645400000002</v>
      </c>
      <c r="I16" s="131">
        <f>I15</f>
        <v>0.57000000000000006</v>
      </c>
      <c r="J16" s="198">
        <f t="shared" si="5"/>
        <v>829.58375219999994</v>
      </c>
      <c r="K16" s="12">
        <f t="shared" si="6"/>
        <v>2.951730127023661E-2</v>
      </c>
      <c r="L16" s="13">
        <f t="shared" si="7"/>
        <v>2</v>
      </c>
      <c r="M16" s="13">
        <f t="shared" si="8"/>
        <v>122.5</v>
      </c>
      <c r="N16" s="13">
        <f t="shared" si="9"/>
        <v>28.1</v>
      </c>
      <c r="O16" s="33">
        <f t="shared" si="10"/>
        <v>6916775.5181468073</v>
      </c>
      <c r="P16" s="33">
        <f t="shared" si="11"/>
        <v>3033673.472871406</v>
      </c>
    </row>
    <row r="17" spans="1:17" x14ac:dyDescent="0.35">
      <c r="A17" s="9" t="s">
        <v>7</v>
      </c>
      <c r="B17" s="9">
        <f>Assumptions!$F$24*Assumptions!D5</f>
        <v>6182.2849999999999</v>
      </c>
      <c r="C17" s="196">
        <f>VLOOKUP($B$4,'FPL Limits'!$J$3:$P$23,5,FALSE)</f>
        <v>33215</v>
      </c>
      <c r="D17" s="33">
        <f t="shared" si="0"/>
        <v>1929.2645400000004</v>
      </c>
      <c r="E17" s="201">
        <f t="shared" si="2"/>
        <v>5.8084134878819818E-2</v>
      </c>
      <c r="F17" s="201">
        <f t="shared" si="1"/>
        <v>0.02</v>
      </c>
      <c r="G17" s="198">
        <f t="shared" si="3"/>
        <v>664.30000000000007</v>
      </c>
      <c r="H17" s="198">
        <f t="shared" si="4"/>
        <v>1264.9645400000004</v>
      </c>
      <c r="I17" s="131">
        <f>I15</f>
        <v>0.57000000000000006</v>
      </c>
      <c r="J17" s="198">
        <f t="shared" si="5"/>
        <v>829.58375219999994</v>
      </c>
      <c r="K17" s="12">
        <f t="shared" si="6"/>
        <v>2.4976177997892517E-2</v>
      </c>
      <c r="L17" s="13">
        <f t="shared" si="7"/>
        <v>2</v>
      </c>
      <c r="M17" s="13">
        <f t="shared" si="8"/>
        <v>122.5</v>
      </c>
      <c r="N17" s="13">
        <f t="shared" si="9"/>
        <v>28.1</v>
      </c>
      <c r="O17" s="33">
        <f t="shared" si="10"/>
        <v>6798540.0392041253</v>
      </c>
      <c r="P17" s="33">
        <f t="shared" si="11"/>
        <v>2981815.8066684753</v>
      </c>
    </row>
    <row r="18" spans="1:17" x14ac:dyDescent="0.35">
      <c r="A18" s="9" t="s">
        <v>150</v>
      </c>
      <c r="B18" s="9">
        <f>Assumptions!$F$24*Assumptions!D6</f>
        <v>5644.6949999999997</v>
      </c>
      <c r="C18" s="196">
        <f>VLOOKUP($B$4,'FPL Limits'!$J$3:$P$23,6,FALSE)</f>
        <v>38325</v>
      </c>
      <c r="D18" s="33">
        <f t="shared" si="0"/>
        <v>1929.2645400000004</v>
      </c>
      <c r="E18" s="201">
        <f t="shared" si="2"/>
        <v>5.0339583561643843E-2</v>
      </c>
      <c r="F18" s="201">
        <f t="shared" si="1"/>
        <v>0.02</v>
      </c>
      <c r="G18" s="198">
        <f t="shared" si="3"/>
        <v>766.5</v>
      </c>
      <c r="H18" s="198">
        <f t="shared" si="4"/>
        <v>1162.7645400000004</v>
      </c>
      <c r="I18" s="131">
        <f>I15</f>
        <v>0.57000000000000006</v>
      </c>
      <c r="J18" s="198">
        <f t="shared" si="5"/>
        <v>829.58375219999994</v>
      </c>
      <c r="K18" s="12">
        <f t="shared" si="6"/>
        <v>2.1646020931506849E-2</v>
      </c>
      <c r="L18" s="13">
        <f t="shared" si="7"/>
        <v>2</v>
      </c>
      <c r="M18" s="13">
        <f t="shared" si="8"/>
        <v>122.5</v>
      </c>
      <c r="N18" s="13">
        <f t="shared" si="9"/>
        <v>28.1</v>
      </c>
      <c r="O18" s="33">
        <f t="shared" si="10"/>
        <v>6207362.6444907226</v>
      </c>
      <c r="P18" s="33">
        <f t="shared" si="11"/>
        <v>2722527.4756538253</v>
      </c>
    </row>
    <row r="19" spans="1:17" x14ac:dyDescent="0.35">
      <c r="A19" s="9" t="s">
        <v>9</v>
      </c>
      <c r="B19" s="9">
        <f>Assumptions!$F$24*Assumptions!D7</f>
        <v>15321.314999999999</v>
      </c>
      <c r="C19" s="196">
        <f>VLOOKUP($B$4,'FPL Limits'!$J$3:$P$23,7,FALSE)</f>
        <v>52606.5</v>
      </c>
      <c r="D19" s="33">
        <f t="shared" si="0"/>
        <v>1929.2645400000004</v>
      </c>
      <c r="E19" s="201">
        <f t="shared" si="2"/>
        <v>3.6673501183313854E-2</v>
      </c>
      <c r="F19" s="201">
        <f t="shared" si="1"/>
        <v>0.02</v>
      </c>
      <c r="G19" s="198">
        <f t="shared" si="3"/>
        <v>1052.1300000000001</v>
      </c>
      <c r="H19" s="198">
        <f t="shared" si="4"/>
        <v>877.13454000000024</v>
      </c>
      <c r="I19" s="131">
        <v>0.25</v>
      </c>
      <c r="J19" s="198">
        <f t="shared" si="5"/>
        <v>1446.9484050000003</v>
      </c>
      <c r="K19" s="12">
        <f t="shared" si="6"/>
        <v>2.7505125887485393E-2</v>
      </c>
      <c r="L19" s="13">
        <f t="shared" si="7"/>
        <v>2</v>
      </c>
      <c r="M19" s="13">
        <f t="shared" si="8"/>
        <v>122.5</v>
      </c>
      <c r="N19" s="140">
        <f t="shared" si="9"/>
        <v>28.1</v>
      </c>
      <c r="O19" s="141">
        <f t="shared" si="10"/>
        <v>7389717.4339175252</v>
      </c>
      <c r="P19" s="141">
        <f t="shared" si="11"/>
        <v>7389717.4339175262</v>
      </c>
    </row>
    <row r="20" spans="1:17" x14ac:dyDescent="0.35">
      <c r="N20" s="142" t="s">
        <v>151</v>
      </c>
      <c r="O20" s="139">
        <f>SUM(O14:O19)</f>
        <v>58288016.812093332</v>
      </c>
      <c r="P20" s="139">
        <f>SUM(P14:P19)</f>
        <v>25928833.101465005</v>
      </c>
    </row>
    <row r="21" spans="1:17" x14ac:dyDescent="0.35">
      <c r="O21" s="139" t="s">
        <v>169</v>
      </c>
      <c r="P21" s="139">
        <f>O20-P20</f>
        <v>32359183.710628327</v>
      </c>
      <c r="Q21" s="143">
        <f>P21/P20</f>
        <v>1.248</v>
      </c>
    </row>
    <row r="22" spans="1:17" x14ac:dyDescent="0.35">
      <c r="P22" s="5"/>
      <c r="Q22" s="45"/>
    </row>
    <row r="23" spans="1:17" x14ac:dyDescent="0.35">
      <c r="A23" s="7" t="s">
        <v>200</v>
      </c>
    </row>
    <row r="25" spans="1:17" x14ac:dyDescent="0.35">
      <c r="A25" s="1" t="s">
        <v>187</v>
      </c>
      <c r="B25" s="25">
        <v>45597</v>
      </c>
      <c r="C25" s="25">
        <v>45413</v>
      </c>
      <c r="F25" s="1"/>
      <c r="G25" s="25"/>
      <c r="H25" s="25"/>
    </row>
    <row r="26" spans="1:17" x14ac:dyDescent="0.35">
      <c r="A26" t="s">
        <v>154</v>
      </c>
      <c r="B26" s="17">
        <v>12.2</v>
      </c>
      <c r="C26" s="17">
        <v>12.2</v>
      </c>
      <c r="G26" s="89"/>
      <c r="H26" s="89"/>
    </row>
    <row r="27" spans="1:17" x14ac:dyDescent="0.35">
      <c r="A27" t="s">
        <v>188</v>
      </c>
      <c r="B27" s="90">
        <v>0.1017</v>
      </c>
      <c r="C27" s="90">
        <v>8.5000000000000006E-2</v>
      </c>
      <c r="G27" s="90"/>
      <c r="H27" s="90"/>
    </row>
    <row r="28" spans="1:17" x14ac:dyDescent="0.35">
      <c r="A28" t="s">
        <v>189</v>
      </c>
      <c r="B28" s="26">
        <v>1.3317000000000001</v>
      </c>
      <c r="C28" s="26">
        <v>1.0347</v>
      </c>
      <c r="G28" s="91"/>
      <c r="H28" s="91"/>
    </row>
    <row r="29" spans="1:17" ht="16" x14ac:dyDescent="0.5">
      <c r="A29" s="20" t="s">
        <v>190</v>
      </c>
      <c r="B29" s="27">
        <v>0.79200000000000004</v>
      </c>
      <c r="C29" s="27">
        <v>0.28170000000000001</v>
      </c>
      <c r="F29" s="20"/>
      <c r="G29" s="92"/>
      <c r="H29" s="92"/>
    </row>
    <row r="30" spans="1:17" x14ac:dyDescent="0.35">
      <c r="A30" t="s">
        <v>191</v>
      </c>
      <c r="B30" s="28">
        <f>B28+B29</f>
        <v>2.1237000000000004</v>
      </c>
      <c r="C30" s="28">
        <f>C28+C29</f>
        <v>1.3164</v>
      </c>
      <c r="G30" s="91"/>
      <c r="H30" s="91"/>
    </row>
    <row r="31" spans="1:17" x14ac:dyDescent="0.35">
      <c r="A31" t="s">
        <v>192</v>
      </c>
      <c r="B31" s="26">
        <f>SUM(B27:B29)</f>
        <v>2.2254</v>
      </c>
      <c r="C31" s="26">
        <f>SUM(C27:C29)</f>
        <v>1.4014</v>
      </c>
      <c r="G31" s="91"/>
      <c r="H31" s="91"/>
    </row>
    <row r="32" spans="1:17" x14ac:dyDescent="0.35">
      <c r="A32" t="s">
        <v>160</v>
      </c>
      <c r="B32" s="86">
        <f>B27/B31</f>
        <v>4.569964950121326E-2</v>
      </c>
      <c r="C32" s="86">
        <f>C27/C31</f>
        <v>6.0653632082203514E-2</v>
      </c>
      <c r="G32" s="86"/>
      <c r="H32" s="86"/>
    </row>
    <row r="33" spans="1:8" x14ac:dyDescent="0.35">
      <c r="G33" s="86"/>
      <c r="H33" s="86"/>
    </row>
    <row r="34" spans="1:8" x14ac:dyDescent="0.35">
      <c r="A34" t="s">
        <v>193</v>
      </c>
    </row>
    <row r="35" spans="1:8" x14ac:dyDescent="0.35">
      <c r="A35" t="s">
        <v>162</v>
      </c>
      <c r="B35" s="64">
        <f>B27+(B27*Q21)</f>
        <v>0.22862159999999998</v>
      </c>
      <c r="C35" s="64">
        <f>C27+(C27*Q21)</f>
        <v>0.19108000000000003</v>
      </c>
      <c r="G35" s="64"/>
      <c r="H35" s="64"/>
    </row>
    <row r="36" spans="1:8" x14ac:dyDescent="0.35">
      <c r="A36" t="s">
        <v>191</v>
      </c>
      <c r="B36" s="64">
        <f>B30</f>
        <v>2.1237000000000004</v>
      </c>
      <c r="C36" s="64">
        <f>C30</f>
        <v>1.3164</v>
      </c>
      <c r="G36" s="64"/>
      <c r="H36" s="64"/>
    </row>
    <row r="37" spans="1:8" x14ac:dyDescent="0.35">
      <c r="A37" t="s">
        <v>194</v>
      </c>
      <c r="B37" s="64">
        <f>B35+B36</f>
        <v>2.3523216000000002</v>
      </c>
      <c r="C37" s="64">
        <f>C35+C36</f>
        <v>1.5074800000000002</v>
      </c>
      <c r="G37" s="64"/>
      <c r="H37" s="64"/>
    </row>
    <row r="38" spans="1:8" x14ac:dyDescent="0.35">
      <c r="A38" t="s">
        <v>164</v>
      </c>
      <c r="B38" s="86">
        <f>B35/B37</f>
        <v>9.7189772010765854E-2</v>
      </c>
      <c r="C38" s="86">
        <f>C35/C37</f>
        <v>0.12675458380874041</v>
      </c>
      <c r="G38" s="86"/>
      <c r="H38" s="86"/>
    </row>
    <row r="40" spans="1:8" x14ac:dyDescent="0.35">
      <c r="B40" s="4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84A1D07686949B5CDC9B8AB8768E2" ma:contentTypeVersion="16" ma:contentTypeDescription="Create a new document." ma:contentTypeScope="" ma:versionID="52ff82cd5d20c7a4543d6203e048f5e0">
  <xsd:schema xmlns:xsd="http://www.w3.org/2001/XMLSchema" xmlns:xs="http://www.w3.org/2001/XMLSchema" xmlns:p="http://schemas.microsoft.com/office/2006/metadata/properties" xmlns:ns2="2e793e6c-f80b-4f46-85b7-81c39eb90350" xmlns:ns3="7b83dbe2-6fd2-449a-a932-0d75829bf641" targetNamespace="http://schemas.microsoft.com/office/2006/metadata/properties" ma:root="true" ma:fieldsID="c0f6ad18565c4da905cd470fe6c6deea" ns2:_="" ns3:_="">
    <xsd:import namespace="2e793e6c-f80b-4f46-85b7-81c39eb90350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93e6c-f80b-4f46-85b7-81c39eb90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5723a2-c309-4201-853f-317529824226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793e6c-f80b-4f46-85b7-81c39eb90350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Props1.xml><?xml version="1.0" encoding="utf-8"?>
<ds:datastoreItem xmlns:ds="http://schemas.openxmlformats.org/officeDocument/2006/customXml" ds:itemID="{EAB8BF64-ABBE-4E88-BAD3-F2F32B3F52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FC04BB-BC92-4A64-B82D-74E968708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793e6c-f80b-4f46-85b7-81c39eb90350"/>
    <ds:schemaRef ds:uri="7b83dbe2-6fd2-449a-a932-0d75829b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ED92BA-00FB-46BF-993F-69C17F9DD422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7b83dbe2-6fd2-449a-a932-0d75829bf641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2e793e6c-f80b-4f46-85b7-81c39eb90350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FPL Limits</vt:lpstr>
      <vt:lpstr>Assumptions</vt:lpstr>
      <vt:lpstr>SUMMARY</vt:lpstr>
      <vt:lpstr>NSTAR Electric R2</vt:lpstr>
      <vt:lpstr>FGE Electric R2</vt:lpstr>
      <vt:lpstr>NGrid Meco Electric R2</vt:lpstr>
      <vt:lpstr>NSTAR Gas H R4</vt:lpstr>
      <vt:lpstr>NSTAR Gas NH R2</vt:lpstr>
      <vt:lpstr>EGMA Gas H R4</vt:lpstr>
      <vt:lpstr>EGMA Gas NH R2</vt:lpstr>
      <vt:lpstr>BGC H R4</vt:lpstr>
      <vt:lpstr>BGC NH R2</vt:lpstr>
      <vt:lpstr>FGE Gas H R4</vt:lpstr>
      <vt:lpstr>FGE Gas NH R2</vt:lpstr>
      <vt:lpstr>LIB NEG H R4</vt:lpstr>
      <vt:lpstr>LIB NEG NH R2</vt:lpstr>
      <vt:lpstr>NGrid Gas BG H R4</vt:lpstr>
      <vt:lpstr>NGrid Gas BG NH R2</vt:lpstr>
      <vt:lpstr>NGrid Gas CG H R4</vt:lpstr>
      <vt:lpstr>NGrid Gas CG NH R2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Rekha, Aneesa (DPU)</dc:creator>
  <cp:keywords/>
  <dc:description/>
  <cp:lastModifiedBy>Weisman, Laurie (DPU)</cp:lastModifiedBy>
  <cp:revision/>
  <dcterms:created xsi:type="dcterms:W3CDTF">2025-02-24T15:20:22Z</dcterms:created>
  <dcterms:modified xsi:type="dcterms:W3CDTF">2025-05-15T15:49:15Z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0x01010019284A1D07686949B5CDC9B8AB8768E2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{C7376A47-1F73-454D-B815-281A73E2A51D}</vt:lpwstr>
  </property>
</Properties>
</file>