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DEP-BAW-Shared/Air/GHG/7.73 Implementation/7.73_2024 Program Review/"/>
    </mc:Choice>
  </mc:AlternateContent>
  <xr:revisionPtr revIDLastSave="1297" documentId="8_{E850BAB5-C7D1-426D-AA42-CB0E6DF56411}" xr6:coauthVersionLast="47" xr6:coauthVersionMax="47" xr10:uidLastSave="{690B79B0-FB12-47CF-8B40-395E94377459}"/>
  <bookViews>
    <workbookView xWindow="-120" yWindow="-120" windowWidth="29040" windowHeight="15720" xr2:uid="{00000000-000D-0000-FFFF-FFFF00000000}"/>
  </bookViews>
  <sheets>
    <sheet name="Contents" sheetId="9" r:id="rId1"/>
    <sheet name="Stakeholder Memo Table 3" sheetId="1" r:id="rId2"/>
    <sheet name="Stakeholder Memo Table 4" sheetId="8" r:id="rId3"/>
    <sheet name="Stakeholder Memo Table 5" sheetId="7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9" i="7" l="1"/>
  <c r="O69" i="7"/>
  <c r="J40" i="7" l="1"/>
  <c r="C166" i="1" l="1"/>
  <c r="C165" i="1"/>
  <c r="C140" i="1"/>
  <c r="C139" i="1"/>
  <c r="C114" i="1"/>
  <c r="C113" i="1"/>
  <c r="C88" i="1"/>
  <c r="C87" i="1"/>
  <c r="C62" i="1"/>
  <c r="C61" i="1"/>
  <c r="C36" i="1"/>
  <c r="C35" i="1"/>
  <c r="J13" i="7"/>
  <c r="J14" i="7"/>
  <c r="J16" i="7"/>
  <c r="J15" i="7"/>
  <c r="R123" i="7" s="1"/>
  <c r="J11" i="7"/>
  <c r="R139" i="7" s="1"/>
  <c r="J10" i="7"/>
  <c r="J9" i="7"/>
  <c r="R84" i="7" s="1"/>
  <c r="J8" i="7"/>
  <c r="U167" i="7" s="1"/>
  <c r="V124" i="7" l="1"/>
  <c r="S39" i="7"/>
  <c r="U124" i="7"/>
  <c r="V150" i="7"/>
  <c r="U150" i="7"/>
  <c r="R45" i="7"/>
  <c r="R149" i="7"/>
  <c r="S72" i="7"/>
  <c r="R61" i="7"/>
  <c r="R151" i="7"/>
  <c r="R67" i="7"/>
  <c r="R153" i="7"/>
  <c r="R71" i="7"/>
  <c r="R177" i="7"/>
  <c r="R72" i="7"/>
  <c r="R179" i="7"/>
  <c r="R73" i="7"/>
  <c r="W45" i="7"/>
  <c r="R93" i="7"/>
  <c r="V45" i="7"/>
  <c r="R94" i="7"/>
  <c r="U45" i="7"/>
  <c r="U127" i="7"/>
  <c r="R99" i="7"/>
  <c r="W75" i="7"/>
  <c r="T127" i="7"/>
  <c r="R31" i="7"/>
  <c r="R113" i="7"/>
  <c r="V73" i="7"/>
  <c r="S127" i="7"/>
  <c r="R33" i="7"/>
  <c r="R119" i="7"/>
  <c r="U73" i="7"/>
  <c r="W124" i="7"/>
  <c r="R39" i="7"/>
  <c r="R145" i="7"/>
  <c r="T73" i="7"/>
  <c r="R109" i="7"/>
  <c r="R57" i="7"/>
  <c r="R138" i="7"/>
  <c r="R59" i="7"/>
  <c r="T59" i="7"/>
  <c r="R60" i="7"/>
  <c r="R97" i="7"/>
  <c r="S59" i="7"/>
  <c r="W137" i="7"/>
  <c r="R112" i="7"/>
  <c r="R163" i="7"/>
  <c r="V137" i="7"/>
  <c r="R32" i="7"/>
  <c r="W163" i="7"/>
  <c r="R111" i="7"/>
  <c r="R37" i="7"/>
  <c r="R164" i="7"/>
  <c r="R165" i="7"/>
  <c r="V169" i="7"/>
  <c r="R43" i="7"/>
  <c r="R85" i="7"/>
  <c r="R86" i="7"/>
  <c r="R136" i="7"/>
  <c r="R47" i="7"/>
  <c r="R87" i="7"/>
  <c r="R137" i="7"/>
  <c r="W150" i="7"/>
  <c r="R29" i="7"/>
  <c r="R75" i="7"/>
  <c r="R98" i="7"/>
  <c r="R120" i="7"/>
  <c r="S45" i="7"/>
  <c r="T45" i="7"/>
  <c r="V75" i="7"/>
  <c r="S73" i="7"/>
  <c r="W125" i="7"/>
  <c r="T124" i="7"/>
  <c r="W151" i="7"/>
  <c r="T150" i="7"/>
  <c r="U75" i="7"/>
  <c r="W72" i="7"/>
  <c r="V125" i="7"/>
  <c r="S124" i="7"/>
  <c r="V151" i="7"/>
  <c r="S150" i="7"/>
  <c r="R40" i="7"/>
  <c r="R101" i="7"/>
  <c r="R124" i="7"/>
  <c r="R146" i="7"/>
  <c r="R171" i="7"/>
  <c r="T75" i="7"/>
  <c r="V72" i="7"/>
  <c r="U125" i="7"/>
  <c r="U151" i="7"/>
  <c r="V179" i="7"/>
  <c r="R125" i="7"/>
  <c r="R172" i="7"/>
  <c r="S75" i="7"/>
  <c r="U72" i="7"/>
  <c r="W127" i="7"/>
  <c r="T125" i="7"/>
  <c r="T151" i="7"/>
  <c r="T179" i="7"/>
  <c r="U179" i="7"/>
  <c r="R44" i="7"/>
  <c r="R68" i="7"/>
  <c r="R127" i="7"/>
  <c r="R150" i="7"/>
  <c r="R176" i="7"/>
  <c r="W73" i="7"/>
  <c r="T72" i="7"/>
  <c r="V127" i="7"/>
  <c r="S125" i="7"/>
  <c r="S151" i="7"/>
  <c r="V177" i="7"/>
  <c r="R175" i="7"/>
  <c r="R100" i="7"/>
  <c r="R126" i="7"/>
  <c r="T41" i="7"/>
  <c r="R147" i="7"/>
  <c r="W121" i="7"/>
  <c r="R148" i="7"/>
  <c r="R41" i="7"/>
  <c r="T121" i="7"/>
  <c r="R95" i="7"/>
  <c r="R96" i="7"/>
  <c r="V121" i="7"/>
  <c r="R42" i="7"/>
  <c r="S41" i="7"/>
  <c r="W69" i="7"/>
  <c r="U121" i="7"/>
  <c r="V69" i="7"/>
  <c r="U69" i="7"/>
  <c r="R70" i="7"/>
  <c r="R121" i="7"/>
  <c r="R173" i="7"/>
  <c r="V41" i="7"/>
  <c r="T69" i="7"/>
  <c r="S121" i="7"/>
  <c r="R69" i="7"/>
  <c r="W41" i="7"/>
  <c r="S69" i="7"/>
  <c r="R122" i="7"/>
  <c r="R174" i="7"/>
  <c r="U41" i="7"/>
  <c r="U126" i="7"/>
  <c r="W177" i="7"/>
  <c r="W179" i="7"/>
  <c r="W59" i="7"/>
  <c r="V163" i="7"/>
  <c r="V59" i="7"/>
  <c r="U59" i="7"/>
  <c r="U117" i="7"/>
  <c r="R74" i="7"/>
  <c r="W152" i="7"/>
  <c r="R46" i="7"/>
  <c r="W126" i="7"/>
  <c r="V152" i="7"/>
  <c r="R178" i="7"/>
  <c r="V126" i="7"/>
  <c r="U152" i="7"/>
  <c r="T152" i="7"/>
  <c r="T126" i="7"/>
  <c r="S152" i="7"/>
  <c r="R152" i="7"/>
  <c r="S126" i="7"/>
  <c r="W173" i="7"/>
  <c r="V173" i="7"/>
  <c r="U173" i="7"/>
  <c r="T173" i="7"/>
  <c r="S173" i="7"/>
  <c r="S179" i="7"/>
  <c r="U177" i="7"/>
  <c r="T177" i="7"/>
  <c r="S177" i="7"/>
  <c r="U137" i="7"/>
  <c r="U163" i="7"/>
  <c r="T137" i="7"/>
  <c r="T163" i="7"/>
  <c r="S137" i="7"/>
  <c r="S163" i="7"/>
  <c r="R83" i="7"/>
  <c r="R110" i="7"/>
  <c r="V117" i="7"/>
  <c r="S143" i="7"/>
  <c r="W169" i="7"/>
  <c r="T117" i="7"/>
  <c r="U169" i="7"/>
  <c r="R30" i="7"/>
  <c r="R143" i="7"/>
  <c r="S117" i="7"/>
  <c r="T169" i="7"/>
  <c r="R117" i="7"/>
  <c r="S169" i="7"/>
  <c r="R91" i="7"/>
  <c r="R161" i="7"/>
  <c r="U91" i="7"/>
  <c r="V143" i="7"/>
  <c r="R58" i="7"/>
  <c r="R169" i="7"/>
  <c r="W143" i="7"/>
  <c r="R65" i="7"/>
  <c r="R135" i="7"/>
  <c r="R162" i="7"/>
  <c r="T91" i="7"/>
  <c r="U143" i="7"/>
  <c r="S91" i="7"/>
  <c r="W117" i="7"/>
  <c r="T143" i="7"/>
  <c r="S167" i="7"/>
  <c r="V64" i="7"/>
  <c r="S142" i="7"/>
  <c r="R64" i="7"/>
  <c r="R168" i="7"/>
  <c r="U35" i="7"/>
  <c r="U64" i="7"/>
  <c r="U89" i="7"/>
  <c r="T116" i="7"/>
  <c r="W141" i="7"/>
  <c r="U168" i="7"/>
  <c r="W64" i="7"/>
  <c r="R89" i="7"/>
  <c r="T35" i="7"/>
  <c r="T64" i="7"/>
  <c r="T89" i="7"/>
  <c r="S116" i="7"/>
  <c r="V141" i="7"/>
  <c r="T168" i="7"/>
  <c r="R142" i="7"/>
  <c r="W35" i="7"/>
  <c r="R63" i="7"/>
  <c r="V35" i="7"/>
  <c r="S63" i="7"/>
  <c r="U116" i="7"/>
  <c r="R90" i="7"/>
  <c r="S64" i="7"/>
  <c r="S89" i="7"/>
  <c r="U141" i="7"/>
  <c r="S168" i="7"/>
  <c r="R62" i="7"/>
  <c r="S35" i="7"/>
  <c r="W168" i="7"/>
  <c r="R88" i="7"/>
  <c r="R114" i="7"/>
  <c r="R115" i="7"/>
  <c r="W63" i="7"/>
  <c r="U90" i="7"/>
  <c r="W142" i="7"/>
  <c r="T141" i="7"/>
  <c r="W167" i="7"/>
  <c r="R166" i="7"/>
  <c r="V168" i="7"/>
  <c r="R34" i="7"/>
  <c r="R116" i="7"/>
  <c r="R140" i="7"/>
  <c r="V63" i="7"/>
  <c r="T90" i="7"/>
  <c r="V142" i="7"/>
  <c r="S141" i="7"/>
  <c r="V167" i="7"/>
  <c r="R36" i="7"/>
  <c r="T63" i="7"/>
  <c r="V116" i="7"/>
  <c r="T142" i="7"/>
  <c r="T167" i="7"/>
  <c r="R167" i="7"/>
  <c r="R35" i="7"/>
  <c r="R141" i="7"/>
  <c r="U63" i="7"/>
  <c r="S90" i="7"/>
  <c r="W116" i="7"/>
  <c r="U142" i="7"/>
  <c r="C6" i="8"/>
  <c r="C7" i="8"/>
  <c r="C8" i="8"/>
  <c r="C9" i="8"/>
  <c r="C10" i="8"/>
  <c r="C5" i="8"/>
  <c r="R66" i="7" l="1"/>
  <c r="R170" i="7"/>
  <c r="R92" i="7"/>
  <c r="R144" i="7"/>
  <c r="R118" i="7"/>
  <c r="B13" i="1"/>
  <c r="C29" i="7"/>
  <c r="B38" i="7"/>
  <c r="S29" i="7" l="1"/>
  <c r="C20" i="1"/>
  <c r="C21" i="1"/>
  <c r="C22" i="1"/>
  <c r="C24" i="1"/>
  <c r="C25" i="1"/>
  <c r="C26" i="1"/>
  <c r="C27" i="1"/>
  <c r="C19" i="1"/>
  <c r="D42" i="1" l="1"/>
  <c r="D171" i="1"/>
  <c r="D94" i="1"/>
  <c r="D170" i="1"/>
  <c r="D93" i="1"/>
  <c r="D92" i="1"/>
  <c r="D146" i="1"/>
  <c r="D145" i="1"/>
  <c r="D68" i="1"/>
  <c r="D144" i="1"/>
  <c r="D67" i="1"/>
  <c r="D66" i="1"/>
  <c r="D120" i="1"/>
  <c r="D119" i="1"/>
  <c r="D118" i="1"/>
  <c r="D41" i="1"/>
  <c r="D172" i="1"/>
  <c r="D40" i="1"/>
  <c r="D128" i="1"/>
  <c r="D180" i="1"/>
  <c r="D50" i="1"/>
  <c r="D102" i="1"/>
  <c r="D154" i="1"/>
  <c r="D76" i="1"/>
  <c r="D151" i="1"/>
  <c r="D130" i="1"/>
  <c r="D52" i="1"/>
  <c r="D150" i="1"/>
  <c r="D129" i="1"/>
  <c r="D73" i="1"/>
  <c r="D54" i="1"/>
  <c r="D184" i="1"/>
  <c r="D106" i="1"/>
  <c r="D72" i="1"/>
  <c r="D182" i="1"/>
  <c r="D181" i="1"/>
  <c r="D104" i="1"/>
  <c r="D51" i="1"/>
  <c r="D158" i="1"/>
  <c r="D125" i="1"/>
  <c r="D103" i="1"/>
  <c r="D124" i="1"/>
  <c r="D156" i="1"/>
  <c r="D47" i="1"/>
  <c r="D177" i="1"/>
  <c r="D155" i="1"/>
  <c r="D78" i="1"/>
  <c r="D46" i="1"/>
  <c r="D176" i="1"/>
  <c r="D99" i="1"/>
  <c r="D77" i="1"/>
  <c r="D132" i="1"/>
  <c r="D98" i="1"/>
  <c r="D74" i="1"/>
  <c r="D127" i="1"/>
  <c r="D48" i="1"/>
  <c r="D126" i="1"/>
  <c r="D179" i="1"/>
  <c r="D101" i="1"/>
  <c r="D49" i="1"/>
  <c r="D178" i="1"/>
  <c r="D100" i="1"/>
  <c r="D153" i="1"/>
  <c r="D152" i="1"/>
  <c r="D75" i="1"/>
  <c r="D39" i="1"/>
  <c r="D169" i="1"/>
  <c r="D91" i="1"/>
  <c r="D143" i="1"/>
  <c r="D65" i="1"/>
  <c r="D117" i="1"/>
  <c r="D116" i="1"/>
  <c r="D115" i="1"/>
  <c r="D38" i="1"/>
  <c r="D37" i="1"/>
  <c r="D168" i="1"/>
  <c r="D167" i="1"/>
  <c r="D90" i="1"/>
  <c r="D89" i="1"/>
  <c r="D142" i="1"/>
  <c r="D141" i="1"/>
  <c r="D64" i="1"/>
  <c r="D63" i="1"/>
  <c r="D183" i="1"/>
  <c r="D53" i="1"/>
  <c r="D105" i="1"/>
  <c r="D157" i="1"/>
  <c r="D79" i="1"/>
  <c r="D131" i="1"/>
  <c r="D113" i="1"/>
  <c r="D87" i="1"/>
  <c r="D147" i="1"/>
  <c r="D88" i="1"/>
  <c r="D69" i="1"/>
  <c r="D166" i="1"/>
  <c r="D165" i="1"/>
  <c r="D121" i="1"/>
  <c r="D140" i="1"/>
  <c r="D139" i="1"/>
  <c r="D43" i="1"/>
  <c r="D35" i="1"/>
  <c r="D36" i="1"/>
  <c r="D173" i="1"/>
  <c r="D61" i="1"/>
  <c r="D114" i="1"/>
  <c r="D95" i="1"/>
  <c r="D62" i="1"/>
  <c r="C11" i="8"/>
  <c r="D70" i="1" l="1"/>
  <c r="D11" i="8"/>
  <c r="D107" i="1"/>
  <c r="D55" i="1"/>
  <c r="D133" i="1"/>
  <c r="D96" i="1"/>
  <c r="D185" i="1"/>
  <c r="D174" i="1"/>
  <c r="D159" i="1"/>
  <c r="D148" i="1"/>
  <c r="D122" i="1"/>
  <c r="D44" i="1"/>
  <c r="D56" i="1" l="1"/>
  <c r="D7" i="1" s="1"/>
  <c r="D134" i="1"/>
  <c r="D10" i="1" s="1"/>
  <c r="D108" i="1"/>
  <c r="D9" i="1" s="1"/>
  <c r="D186" i="1"/>
  <c r="D12" i="1" s="1"/>
  <c r="D160" i="1"/>
  <c r="D11" i="1" s="1"/>
  <c r="J44" i="7" l="1"/>
  <c r="K44" i="7"/>
  <c r="L44" i="7"/>
  <c r="M44" i="7"/>
  <c r="J42" i="7"/>
  <c r="K42" i="7"/>
  <c r="L42" i="7"/>
  <c r="M42" i="7"/>
  <c r="M171" i="7"/>
  <c r="B92" i="7" l="1"/>
  <c r="B159" i="1" l="1"/>
  <c r="B148" i="1"/>
  <c r="C120" i="7"/>
  <c r="S119" i="7" s="1"/>
  <c r="C121" i="7"/>
  <c r="S120" i="7" s="1"/>
  <c r="C123" i="7"/>
  <c r="S122" i="7" s="1"/>
  <c r="C124" i="7"/>
  <c r="S123" i="7" s="1"/>
  <c r="C114" i="7"/>
  <c r="S114" i="7" s="1"/>
  <c r="C113" i="7"/>
  <c r="S113" i="7" s="1"/>
  <c r="C110" i="7"/>
  <c r="S110" i="7" s="1"/>
  <c r="C109" i="7"/>
  <c r="S109" i="7" s="1"/>
  <c r="C101" i="7"/>
  <c r="S100" i="7" s="1"/>
  <c r="C99" i="7"/>
  <c r="S98" i="7" s="1"/>
  <c r="C95" i="7"/>
  <c r="S94" i="7" s="1"/>
  <c r="C94" i="7"/>
  <c r="S93" i="7" s="1"/>
  <c r="C147" i="7"/>
  <c r="S146" i="7" s="1"/>
  <c r="C146" i="7"/>
  <c r="S145" i="7" s="1"/>
  <c r="C75" i="7"/>
  <c r="S74" i="7" s="1"/>
  <c r="C69" i="7"/>
  <c r="S68" i="7" s="1"/>
  <c r="C68" i="7"/>
  <c r="S67" i="7" s="1"/>
  <c r="C179" i="7"/>
  <c r="S178" i="7" s="1"/>
  <c r="C177" i="7"/>
  <c r="S176" i="7" s="1"/>
  <c r="C173" i="7"/>
  <c r="S172" i="7" s="1"/>
  <c r="C172" i="7"/>
  <c r="S171" i="7" s="1"/>
  <c r="K61" i="7"/>
  <c r="L61" i="7" s="1"/>
  <c r="M61" i="7" s="1"/>
  <c r="N61" i="7" s="1"/>
  <c r="C72" i="7"/>
  <c r="S71" i="7" s="1"/>
  <c r="N68" i="7"/>
  <c r="O68" i="7"/>
  <c r="N67" i="7"/>
  <c r="J59" i="7" s="1"/>
  <c r="C62" i="7" s="1"/>
  <c r="S62" i="7" s="1"/>
  <c r="O67" i="7"/>
  <c r="M68" i="7"/>
  <c r="M67" i="7"/>
  <c r="AF77" i="7"/>
  <c r="AF66" i="7"/>
  <c r="M172" i="7"/>
  <c r="N172" i="7"/>
  <c r="M163" i="7" s="1"/>
  <c r="O172" i="7"/>
  <c r="M173" i="7"/>
  <c r="N173" i="7"/>
  <c r="O173" i="7"/>
  <c r="O171" i="7"/>
  <c r="K164" i="7" s="1"/>
  <c r="N171" i="7"/>
  <c r="J163" i="7" s="1"/>
  <c r="AF181" i="7"/>
  <c r="AE181" i="7"/>
  <c r="AF170" i="7"/>
  <c r="AE170" i="7"/>
  <c r="C83" i="7"/>
  <c r="S83" i="7" s="1"/>
  <c r="C84" i="7"/>
  <c r="S84" i="7" s="1"/>
  <c r="C85" i="7"/>
  <c r="S85" i="7" s="1"/>
  <c r="C86" i="7"/>
  <c r="S86" i="7" s="1"/>
  <c r="C87" i="7"/>
  <c r="S87" i="7" s="1"/>
  <c r="C88" i="7"/>
  <c r="S88" i="7" s="1"/>
  <c r="C96" i="7"/>
  <c r="S95" i="7" s="1"/>
  <c r="C97" i="7"/>
  <c r="S96" i="7" s="1"/>
  <c r="C98" i="7"/>
  <c r="S97" i="7" s="1"/>
  <c r="C100" i="7"/>
  <c r="S99" i="7" s="1"/>
  <c r="C102" i="7"/>
  <c r="S101" i="7" s="1"/>
  <c r="AF92" i="7"/>
  <c r="AE92" i="7"/>
  <c r="AF103" i="7"/>
  <c r="AE103" i="7"/>
  <c r="C135" i="7"/>
  <c r="S135" i="7" s="1"/>
  <c r="C136" i="7"/>
  <c r="S136" i="7" s="1"/>
  <c r="C138" i="7"/>
  <c r="S138" i="7" s="1"/>
  <c r="C139" i="7"/>
  <c r="S139" i="7" s="1"/>
  <c r="C140" i="7"/>
  <c r="S140" i="7" s="1"/>
  <c r="C154" i="7"/>
  <c r="S153" i="7" s="1"/>
  <c r="C148" i="7"/>
  <c r="S147" i="7" s="1"/>
  <c r="C149" i="7"/>
  <c r="S148" i="7" s="1"/>
  <c r="C150" i="7"/>
  <c r="S149" i="7" s="1"/>
  <c r="AF155" i="7"/>
  <c r="AE155" i="7"/>
  <c r="AF144" i="7"/>
  <c r="AE144" i="7"/>
  <c r="AF118" i="7"/>
  <c r="AE118" i="7"/>
  <c r="AE129" i="7"/>
  <c r="AD129" i="7"/>
  <c r="AF129" i="7"/>
  <c r="C30" i="7"/>
  <c r="C31" i="7"/>
  <c r="S31" i="7" s="1"/>
  <c r="C32" i="7"/>
  <c r="S32" i="7" s="1"/>
  <c r="C33" i="7"/>
  <c r="S33" i="7" s="1"/>
  <c r="C34" i="7"/>
  <c r="S34" i="7" s="1"/>
  <c r="C36" i="7"/>
  <c r="S36" i="7" s="1"/>
  <c r="C37" i="7"/>
  <c r="S37" i="7" s="1"/>
  <c r="J41" i="7"/>
  <c r="J43" i="7"/>
  <c r="K40" i="7"/>
  <c r="K41" i="7"/>
  <c r="K43" i="7"/>
  <c r="L40" i="7"/>
  <c r="L41" i="7"/>
  <c r="L43" i="7"/>
  <c r="M40" i="7"/>
  <c r="M41" i="7"/>
  <c r="M43" i="7"/>
  <c r="S42" i="7"/>
  <c r="S47" i="7"/>
  <c r="AF49" i="7"/>
  <c r="AE49" i="7"/>
  <c r="AF38" i="7"/>
  <c r="AE38" i="7"/>
  <c r="B103" i="7"/>
  <c r="B77" i="7"/>
  <c r="B66" i="7"/>
  <c r="AC129" i="7"/>
  <c r="AB129" i="7"/>
  <c r="AA129" i="7"/>
  <c r="Z129" i="7"/>
  <c r="AD118" i="7"/>
  <c r="AC118" i="7"/>
  <c r="AB118" i="7"/>
  <c r="AA118" i="7"/>
  <c r="Z118" i="7"/>
  <c r="AD103" i="7"/>
  <c r="AC103" i="7"/>
  <c r="AB103" i="7"/>
  <c r="AA103" i="7"/>
  <c r="Z103" i="7"/>
  <c r="AD92" i="7"/>
  <c r="AC92" i="7"/>
  <c r="AB92" i="7"/>
  <c r="AA92" i="7"/>
  <c r="Z92" i="7"/>
  <c r="AD155" i="7"/>
  <c r="AC155" i="7"/>
  <c r="AB155" i="7"/>
  <c r="AA155" i="7"/>
  <c r="Z155" i="7"/>
  <c r="AD144" i="7"/>
  <c r="AC144" i="7"/>
  <c r="AB144" i="7"/>
  <c r="AA144" i="7"/>
  <c r="Z144" i="7"/>
  <c r="AE77" i="7"/>
  <c r="AD77" i="7"/>
  <c r="AC77" i="7"/>
  <c r="AB77" i="7"/>
  <c r="AA75" i="7"/>
  <c r="AA77" i="7" s="1"/>
  <c r="Z77" i="7"/>
  <c r="AE66" i="7"/>
  <c r="AD66" i="7"/>
  <c r="AC66" i="7"/>
  <c r="AB66" i="7"/>
  <c r="AA66" i="7"/>
  <c r="Z66" i="7"/>
  <c r="AD181" i="7"/>
  <c r="AC181" i="7"/>
  <c r="AB181" i="7"/>
  <c r="AA181" i="7"/>
  <c r="Z181" i="7"/>
  <c r="AD170" i="7"/>
  <c r="AB170" i="7"/>
  <c r="AA170" i="7"/>
  <c r="Z170" i="7"/>
  <c r="AD49" i="7"/>
  <c r="AC49" i="7"/>
  <c r="AB49" i="7"/>
  <c r="AA49" i="7"/>
  <c r="Z49" i="7"/>
  <c r="AB38" i="7"/>
  <c r="AA38" i="7"/>
  <c r="AC33" i="7"/>
  <c r="AC38" i="7" s="1"/>
  <c r="AD38" i="7"/>
  <c r="Z38" i="7"/>
  <c r="C111" i="7"/>
  <c r="S111" i="7" s="1"/>
  <c r="C112" i="7"/>
  <c r="S112" i="7" s="1"/>
  <c r="C115" i="7"/>
  <c r="S115" i="7" s="1"/>
  <c r="C176" i="7"/>
  <c r="S175" i="7" s="1"/>
  <c r="C164" i="7"/>
  <c r="S164" i="7" s="1"/>
  <c r="C165" i="7"/>
  <c r="S165" i="7" s="1"/>
  <c r="C60" i="7"/>
  <c r="S60" i="7" s="1"/>
  <c r="C175" i="7"/>
  <c r="S174" i="7" s="1"/>
  <c r="B170" i="7"/>
  <c r="B181" i="7"/>
  <c r="B118" i="7"/>
  <c r="C65" i="7"/>
  <c r="S65" i="7" s="1"/>
  <c r="B144" i="7"/>
  <c r="B96" i="1"/>
  <c r="B44" i="1"/>
  <c r="B174" i="1"/>
  <c r="B155" i="7"/>
  <c r="B70" i="1"/>
  <c r="C71" i="7"/>
  <c r="S70" i="7" s="1"/>
  <c r="B129" i="7"/>
  <c r="C42" i="1"/>
  <c r="C40" i="1"/>
  <c r="B81" i="1"/>
  <c r="C144" i="1"/>
  <c r="B122" i="1"/>
  <c r="B133" i="1"/>
  <c r="B107" i="1"/>
  <c r="B185" i="1"/>
  <c r="B55" i="1"/>
  <c r="S180" i="7" l="1"/>
  <c r="S76" i="7"/>
  <c r="S30" i="7"/>
  <c r="S38" i="7" s="1"/>
  <c r="C38" i="7"/>
  <c r="S92" i="7"/>
  <c r="S118" i="7"/>
  <c r="S154" i="7"/>
  <c r="S128" i="7"/>
  <c r="S102" i="7"/>
  <c r="S103" i="7" s="1"/>
  <c r="S144" i="7"/>
  <c r="C166" i="7"/>
  <c r="S166" i="7" s="1"/>
  <c r="D149" i="7"/>
  <c r="T148" i="7" s="1"/>
  <c r="J45" i="7"/>
  <c r="M45" i="7"/>
  <c r="L45" i="7"/>
  <c r="K45" i="7"/>
  <c r="C170" i="1"/>
  <c r="C118" i="1"/>
  <c r="C41" i="1"/>
  <c r="C67" i="1"/>
  <c r="C171" i="1"/>
  <c r="D121" i="7"/>
  <c r="T120" i="7" s="1"/>
  <c r="D120" i="7"/>
  <c r="T119" i="7" s="1"/>
  <c r="J164" i="7"/>
  <c r="C162" i="7" s="1"/>
  <c r="S162" i="7" s="1"/>
  <c r="D65" i="7"/>
  <c r="T65" i="7" s="1"/>
  <c r="D32" i="7"/>
  <c r="T32" i="7" s="1"/>
  <c r="D140" i="7"/>
  <c r="T140" i="7" s="1"/>
  <c r="D87" i="7"/>
  <c r="T87" i="7" s="1"/>
  <c r="D139" i="7"/>
  <c r="T139" i="7" s="1"/>
  <c r="T47" i="7"/>
  <c r="D138" i="7"/>
  <c r="T138" i="7" s="1"/>
  <c r="D85" i="7"/>
  <c r="T85" i="7" s="1"/>
  <c r="D123" i="7"/>
  <c r="T122" i="7" s="1"/>
  <c r="D165" i="7"/>
  <c r="T165" i="7" s="1"/>
  <c r="D83" i="7"/>
  <c r="T83" i="7" s="1"/>
  <c r="D175" i="7"/>
  <c r="T174" i="7" s="1"/>
  <c r="D115" i="7"/>
  <c r="T115" i="7" s="1"/>
  <c r="D102" i="7"/>
  <c r="T101" i="7" s="1"/>
  <c r="D112" i="7"/>
  <c r="T112" i="7" s="1"/>
  <c r="D150" i="7"/>
  <c r="T149" i="7" s="1"/>
  <c r="D100" i="7"/>
  <c r="T99" i="7" s="1"/>
  <c r="D109" i="7"/>
  <c r="T109" i="7" s="1"/>
  <c r="D60" i="7"/>
  <c r="T60" i="7" s="1"/>
  <c r="T42" i="7"/>
  <c r="D136" i="7"/>
  <c r="T136" i="7" s="1"/>
  <c r="D84" i="7"/>
  <c r="T84" i="7" s="1"/>
  <c r="D164" i="7"/>
  <c r="T164" i="7" s="1"/>
  <c r="D111" i="7"/>
  <c r="T111" i="7" s="1"/>
  <c r="D98" i="7"/>
  <c r="T97" i="7" s="1"/>
  <c r="D110" i="7"/>
  <c r="T110" i="7" s="1"/>
  <c r="D71" i="7"/>
  <c r="T70" i="7" s="1"/>
  <c r="D36" i="7"/>
  <c r="T36" i="7" s="1"/>
  <c r="D97" i="7"/>
  <c r="T96" i="7" s="1"/>
  <c r="D113" i="7"/>
  <c r="T113" i="7" s="1"/>
  <c r="D34" i="7"/>
  <c r="T34" i="7" s="1"/>
  <c r="D148" i="7"/>
  <c r="T147" i="7" s="1"/>
  <c r="D114" i="7"/>
  <c r="T114" i="7" s="1"/>
  <c r="D31" i="7"/>
  <c r="T31" i="7" s="1"/>
  <c r="D86" i="7"/>
  <c r="T86" i="7" s="1"/>
  <c r="D37" i="7"/>
  <c r="T37" i="7" s="1"/>
  <c r="D33" i="7"/>
  <c r="T33" i="7" s="1"/>
  <c r="D124" i="7"/>
  <c r="T123" i="7" s="1"/>
  <c r="C66" i="1"/>
  <c r="C180" i="1"/>
  <c r="C92" i="1"/>
  <c r="C119" i="1"/>
  <c r="D29" i="7"/>
  <c r="T29" i="7" s="1"/>
  <c r="D30" i="7"/>
  <c r="T30" i="7" s="1"/>
  <c r="D173" i="7"/>
  <c r="T172" i="7" s="1"/>
  <c r="D95" i="7"/>
  <c r="T94" i="7" s="1"/>
  <c r="C181" i="7"/>
  <c r="C92" i="7"/>
  <c r="D72" i="7"/>
  <c r="T71" i="7" s="1"/>
  <c r="K163" i="7"/>
  <c r="N163" i="7"/>
  <c r="D172" i="7"/>
  <c r="T171" i="7" s="1"/>
  <c r="D99" i="7"/>
  <c r="T98" i="7" s="1"/>
  <c r="D94" i="7"/>
  <c r="T93" i="7" s="1"/>
  <c r="L60" i="7"/>
  <c r="M60" i="7"/>
  <c r="N60" i="7"/>
  <c r="L59" i="7"/>
  <c r="M59" i="7"/>
  <c r="N59" i="7"/>
  <c r="D88" i="7"/>
  <c r="T88" i="7" s="1"/>
  <c r="C129" i="7"/>
  <c r="C103" i="7"/>
  <c r="D177" i="7"/>
  <c r="T176" i="7" s="1"/>
  <c r="D96" i="7"/>
  <c r="T95" i="7" s="1"/>
  <c r="D179" i="7"/>
  <c r="T178" i="7" s="1"/>
  <c r="C118" i="7"/>
  <c r="D176" i="7"/>
  <c r="T175" i="7" s="1"/>
  <c r="K58" i="7"/>
  <c r="J58" i="7"/>
  <c r="C61" i="7" s="1"/>
  <c r="S61" i="7" s="1"/>
  <c r="N58" i="7"/>
  <c r="M58" i="7"/>
  <c r="L58" i="7"/>
  <c r="C77" i="7"/>
  <c r="D68" i="7"/>
  <c r="T67" i="7" s="1"/>
  <c r="D75" i="7"/>
  <c r="T74" i="7" s="1"/>
  <c r="D69" i="7"/>
  <c r="T68" i="7" s="1"/>
  <c r="L163" i="7"/>
  <c r="K60" i="7"/>
  <c r="J60" i="7"/>
  <c r="D135" i="7"/>
  <c r="T135" i="7" s="1"/>
  <c r="L164" i="7"/>
  <c r="M164" i="7"/>
  <c r="C155" i="7"/>
  <c r="C144" i="7"/>
  <c r="D154" i="7"/>
  <c r="T153" i="7" s="1"/>
  <c r="K59" i="7"/>
  <c r="D62" i="7" s="1"/>
  <c r="T62" i="7" s="1"/>
  <c r="N164" i="7"/>
  <c r="D101" i="7"/>
  <c r="T100" i="7" s="1"/>
  <c r="C76" i="1"/>
  <c r="C101" i="1"/>
  <c r="C68" i="1"/>
  <c r="C93" i="1"/>
  <c r="C152" i="1"/>
  <c r="C49" i="1"/>
  <c r="C94" i="1"/>
  <c r="C75" i="1"/>
  <c r="C178" i="1"/>
  <c r="C127" i="1"/>
  <c r="C120" i="1"/>
  <c r="C172" i="1"/>
  <c r="C153" i="1"/>
  <c r="C146" i="1"/>
  <c r="C179" i="1"/>
  <c r="C145" i="1"/>
  <c r="C53" i="1"/>
  <c r="C154" i="1"/>
  <c r="C74" i="1"/>
  <c r="C157" i="1"/>
  <c r="C128" i="1"/>
  <c r="C79" i="1"/>
  <c r="C50" i="1"/>
  <c r="C105" i="1"/>
  <c r="C102" i="1"/>
  <c r="C183" i="1"/>
  <c r="C100" i="1"/>
  <c r="C39" i="1"/>
  <c r="C91" i="1"/>
  <c r="C65" i="1"/>
  <c r="C169" i="1"/>
  <c r="C143" i="1"/>
  <c r="C117" i="1"/>
  <c r="C132" i="1"/>
  <c r="C106" i="1"/>
  <c r="C129" i="1"/>
  <c r="C80" i="1"/>
  <c r="C155" i="1"/>
  <c r="C156" i="1"/>
  <c r="C176" i="1"/>
  <c r="C98" i="1"/>
  <c r="C104" i="1"/>
  <c r="C51" i="1"/>
  <c r="C158" i="1"/>
  <c r="C99" i="1"/>
  <c r="C130" i="1"/>
  <c r="C182" i="1"/>
  <c r="C52" i="1"/>
  <c r="C73" i="1"/>
  <c r="C151" i="1"/>
  <c r="C46" i="1"/>
  <c r="C77" i="1"/>
  <c r="C150" i="1"/>
  <c r="C47" i="1"/>
  <c r="C78" i="1"/>
  <c r="C125" i="1"/>
  <c r="C54" i="1"/>
  <c r="C181" i="1"/>
  <c r="C124" i="1"/>
  <c r="C72" i="1"/>
  <c r="C184" i="1"/>
  <c r="C177" i="1"/>
  <c r="C103" i="1"/>
  <c r="C48" i="1"/>
  <c r="C126" i="1"/>
  <c r="C131" i="1"/>
  <c r="D147" i="7"/>
  <c r="T146" i="7" s="1"/>
  <c r="D146" i="7"/>
  <c r="T145" i="7" s="1"/>
  <c r="S129" i="7" l="1"/>
  <c r="S155" i="7"/>
  <c r="T154" i="7"/>
  <c r="T76" i="7"/>
  <c r="D166" i="7"/>
  <c r="T166" i="7" s="1"/>
  <c r="N45" i="7"/>
  <c r="T92" i="7"/>
  <c r="T128" i="7"/>
  <c r="T38" i="7"/>
  <c r="T144" i="7"/>
  <c r="D80" i="1"/>
  <c r="D81" i="1" s="1"/>
  <c r="D82" i="1" s="1"/>
  <c r="D8" i="1" s="1"/>
  <c r="D13" i="1" s="1"/>
  <c r="T102" i="7"/>
  <c r="T118" i="7"/>
  <c r="T180" i="7"/>
  <c r="E149" i="7"/>
  <c r="U148" i="7" s="1"/>
  <c r="C161" i="7"/>
  <c r="S161" i="7" s="1"/>
  <c r="S170" i="7" s="1"/>
  <c r="S181" i="7" s="1"/>
  <c r="E97" i="7"/>
  <c r="U96" i="7" s="1"/>
  <c r="E120" i="7"/>
  <c r="U119" i="7" s="1"/>
  <c r="D129" i="7"/>
  <c r="U42" i="7"/>
  <c r="D118" i="7"/>
  <c r="E121" i="7"/>
  <c r="U120" i="7" s="1"/>
  <c r="E87" i="7"/>
  <c r="U87" i="7" s="1"/>
  <c r="E140" i="7"/>
  <c r="U140" i="7" s="1"/>
  <c r="E123" i="7"/>
  <c r="U122" i="7" s="1"/>
  <c r="E33" i="7"/>
  <c r="U33" i="7" s="1"/>
  <c r="E34" i="7"/>
  <c r="U34" i="7" s="1"/>
  <c r="E148" i="7"/>
  <c r="U147" i="7" s="1"/>
  <c r="E115" i="7"/>
  <c r="E111" i="7"/>
  <c r="U111" i="7" s="1"/>
  <c r="U47" i="7"/>
  <c r="E164" i="7"/>
  <c r="U164" i="7" s="1"/>
  <c r="E100" i="7"/>
  <c r="U99" i="7" s="1"/>
  <c r="E139" i="7"/>
  <c r="U139" i="7" s="1"/>
  <c r="E175" i="7"/>
  <c r="U174" i="7" s="1"/>
  <c r="E150" i="7"/>
  <c r="U149" i="7" s="1"/>
  <c r="E112" i="7"/>
  <c r="U112" i="7" s="1"/>
  <c r="E29" i="7"/>
  <c r="U29" i="7" s="1"/>
  <c r="E72" i="7"/>
  <c r="U71" i="7" s="1"/>
  <c r="E98" i="7"/>
  <c r="U97" i="7" s="1"/>
  <c r="E102" i="7"/>
  <c r="U101" i="7" s="1"/>
  <c r="E85" i="7"/>
  <c r="U85" i="7" s="1"/>
  <c r="E109" i="7"/>
  <c r="U109" i="7" s="1"/>
  <c r="E65" i="7"/>
  <c r="U65" i="7" s="1"/>
  <c r="E31" i="7"/>
  <c r="U31" i="7" s="1"/>
  <c r="E36" i="7"/>
  <c r="U36" i="7" s="1"/>
  <c r="E83" i="7"/>
  <c r="E114" i="7"/>
  <c r="U114" i="7" s="1"/>
  <c r="E165" i="7"/>
  <c r="U165" i="7" s="1"/>
  <c r="E88" i="7"/>
  <c r="U88" i="7" s="1"/>
  <c r="E124" i="7"/>
  <c r="U123" i="7" s="1"/>
  <c r="E110" i="7"/>
  <c r="U110" i="7" s="1"/>
  <c r="E136" i="7"/>
  <c r="U136" i="7" s="1"/>
  <c r="E37" i="7"/>
  <c r="U37" i="7" s="1"/>
  <c r="E113" i="7"/>
  <c r="U113" i="7" s="1"/>
  <c r="E60" i="7"/>
  <c r="U60" i="7" s="1"/>
  <c r="E138" i="7"/>
  <c r="U138" i="7" s="1"/>
  <c r="E32" i="7"/>
  <c r="U32" i="7" s="1"/>
  <c r="E84" i="7"/>
  <c r="U84" i="7" s="1"/>
  <c r="E71" i="7"/>
  <c r="U70" i="7" s="1"/>
  <c r="E176" i="7"/>
  <c r="U175" i="7" s="1"/>
  <c r="E86" i="7"/>
  <c r="U86" i="7" s="1"/>
  <c r="E173" i="7"/>
  <c r="U172" i="7" s="1"/>
  <c r="E30" i="7"/>
  <c r="U30" i="7" s="1"/>
  <c r="D38" i="7"/>
  <c r="E154" i="7"/>
  <c r="U153" i="7" s="1"/>
  <c r="E101" i="7"/>
  <c r="U100" i="7" s="1"/>
  <c r="E179" i="7"/>
  <c r="U178" i="7" s="1"/>
  <c r="E172" i="7"/>
  <c r="U171" i="7" s="1"/>
  <c r="E96" i="7"/>
  <c r="U95" i="7" s="1"/>
  <c r="D181" i="7"/>
  <c r="E177" i="7"/>
  <c r="U176" i="7" s="1"/>
  <c r="D144" i="7"/>
  <c r="E135" i="7"/>
  <c r="U135" i="7" s="1"/>
  <c r="E94" i="7"/>
  <c r="U93" i="7" s="1"/>
  <c r="E69" i="7"/>
  <c r="U68" i="7" s="1"/>
  <c r="D92" i="7"/>
  <c r="E95" i="7"/>
  <c r="U94" i="7" s="1"/>
  <c r="D61" i="7"/>
  <c r="T61" i="7" s="1"/>
  <c r="E99" i="7"/>
  <c r="U98" i="7" s="1"/>
  <c r="E75" i="7"/>
  <c r="U74" i="7" s="1"/>
  <c r="E62" i="7"/>
  <c r="U62" i="7" s="1"/>
  <c r="E68" i="7"/>
  <c r="U67" i="7" s="1"/>
  <c r="D77" i="7"/>
  <c r="D103" i="7"/>
  <c r="C57" i="7"/>
  <c r="S57" i="7" s="1"/>
  <c r="C58" i="7"/>
  <c r="S58" i="7" s="1"/>
  <c r="R102" i="7"/>
  <c r="R103" i="7" s="1"/>
  <c r="R48" i="7"/>
  <c r="R180" i="7"/>
  <c r="R181" i="7" s="1"/>
  <c r="C142" i="1"/>
  <c r="C116" i="1"/>
  <c r="C37" i="1"/>
  <c r="C115" i="1"/>
  <c r="C89" i="1"/>
  <c r="C63" i="1"/>
  <c r="C167" i="1"/>
  <c r="C90" i="1"/>
  <c r="C168" i="1"/>
  <c r="C141" i="1"/>
  <c r="C38" i="1"/>
  <c r="C64" i="1"/>
  <c r="C69" i="1"/>
  <c r="C121" i="1"/>
  <c r="C173" i="1"/>
  <c r="C43" i="1"/>
  <c r="C95" i="1"/>
  <c r="C147" i="1"/>
  <c r="R128" i="7"/>
  <c r="R129" i="7" s="1"/>
  <c r="R154" i="7"/>
  <c r="R155" i="7" s="1"/>
  <c r="C159" i="1"/>
  <c r="R76" i="7"/>
  <c r="R77" i="7" s="1"/>
  <c r="C185" i="1"/>
  <c r="C55" i="1"/>
  <c r="C81" i="1"/>
  <c r="C133" i="1"/>
  <c r="C107" i="1"/>
  <c r="D155" i="7"/>
  <c r="E146" i="7"/>
  <c r="U145" i="7" s="1"/>
  <c r="E147" i="7"/>
  <c r="U146" i="7" s="1"/>
  <c r="T103" i="7" l="1"/>
  <c r="U76" i="7"/>
  <c r="T129" i="7"/>
  <c r="D11" i="7" s="1"/>
  <c r="E166" i="7"/>
  <c r="U166" i="7" s="1"/>
  <c r="T155" i="7"/>
  <c r="U154" i="7"/>
  <c r="U180" i="7"/>
  <c r="E92" i="7"/>
  <c r="U83" i="7"/>
  <c r="U92" i="7" s="1"/>
  <c r="U128" i="7"/>
  <c r="U102" i="7"/>
  <c r="U103" i="7" s="1"/>
  <c r="F115" i="7"/>
  <c r="V115" i="7" s="1"/>
  <c r="U115" i="7"/>
  <c r="U118" i="7" s="1"/>
  <c r="S66" i="7"/>
  <c r="S77" i="7" s="1"/>
  <c r="U144" i="7"/>
  <c r="V42" i="7"/>
  <c r="U38" i="7"/>
  <c r="F149" i="7"/>
  <c r="V148" i="7" s="1"/>
  <c r="C170" i="7"/>
  <c r="D161" i="7"/>
  <c r="T161" i="7" s="1"/>
  <c r="D162" i="7"/>
  <c r="T162" i="7" s="1"/>
  <c r="F33" i="7"/>
  <c r="V33" i="7" s="1"/>
  <c r="F71" i="7"/>
  <c r="V70" i="7" s="1"/>
  <c r="C174" i="1"/>
  <c r="C186" i="1" s="1"/>
  <c r="C12" i="1" s="1"/>
  <c r="F123" i="7"/>
  <c r="V122" i="7" s="1"/>
  <c r="F120" i="7"/>
  <c r="V119" i="7" s="1"/>
  <c r="F140" i="7"/>
  <c r="V140" i="7" s="1"/>
  <c r="E129" i="7"/>
  <c r="F148" i="7"/>
  <c r="V147" i="7" s="1"/>
  <c r="F34" i="7"/>
  <c r="V34" i="7" s="1"/>
  <c r="F121" i="7"/>
  <c r="V120" i="7" s="1"/>
  <c r="E38" i="7"/>
  <c r="E118" i="7"/>
  <c r="F138" i="7"/>
  <c r="V138" i="7" s="1"/>
  <c r="F139" i="7"/>
  <c r="V139" i="7" s="1"/>
  <c r="F60" i="7"/>
  <c r="V60" i="7" s="1"/>
  <c r="F36" i="7"/>
  <c r="V36" i="7" s="1"/>
  <c r="F175" i="7"/>
  <c r="V174" i="7" s="1"/>
  <c r="F124" i="7"/>
  <c r="V123" i="7" s="1"/>
  <c r="F31" i="7"/>
  <c r="V31" i="7" s="1"/>
  <c r="F72" i="7"/>
  <c r="V71" i="7" s="1"/>
  <c r="F164" i="7"/>
  <c r="V164" i="7" s="1"/>
  <c r="F110" i="7"/>
  <c r="V110" i="7" s="1"/>
  <c r="F29" i="7"/>
  <c r="V29" i="7" s="1"/>
  <c r="E144" i="7"/>
  <c r="F176" i="7"/>
  <c r="V175" i="7" s="1"/>
  <c r="F113" i="7"/>
  <c r="V113" i="7" s="1"/>
  <c r="F65" i="7"/>
  <c r="V65" i="7" s="1"/>
  <c r="V47" i="7"/>
  <c r="F30" i="7"/>
  <c r="V30" i="7" s="1"/>
  <c r="F112" i="7"/>
  <c r="V112" i="7" s="1"/>
  <c r="F150" i="7"/>
  <c r="V149" i="7" s="1"/>
  <c r="F32" i="7"/>
  <c r="V32" i="7" s="1"/>
  <c r="F114" i="7"/>
  <c r="V114" i="7" s="1"/>
  <c r="F37" i="7"/>
  <c r="V37" i="7" s="1"/>
  <c r="F165" i="7"/>
  <c r="V165" i="7" s="1"/>
  <c r="F109" i="7"/>
  <c r="V109" i="7" s="1"/>
  <c r="F111" i="7"/>
  <c r="V111" i="7" s="1"/>
  <c r="F136" i="7"/>
  <c r="V136" i="7" s="1"/>
  <c r="F135" i="7"/>
  <c r="V135" i="7" s="1"/>
  <c r="E61" i="7"/>
  <c r="U61" i="7" s="1"/>
  <c r="F173" i="7"/>
  <c r="V172" i="7" s="1"/>
  <c r="E181" i="7"/>
  <c r="F172" i="7"/>
  <c r="V171" i="7" s="1"/>
  <c r="F177" i="7"/>
  <c r="V176" i="7" s="1"/>
  <c r="F179" i="7"/>
  <c r="V178" i="7" s="1"/>
  <c r="F68" i="7"/>
  <c r="V67" i="7" s="1"/>
  <c r="E77" i="7"/>
  <c r="F62" i="7"/>
  <c r="V62" i="7" s="1"/>
  <c r="F69" i="7"/>
  <c r="V68" i="7" s="1"/>
  <c r="F75" i="7"/>
  <c r="V74" i="7" s="1"/>
  <c r="D58" i="7"/>
  <c r="T58" i="7" s="1"/>
  <c r="D57" i="7"/>
  <c r="T57" i="7" s="1"/>
  <c r="C66" i="7"/>
  <c r="E103" i="7"/>
  <c r="C148" i="1"/>
  <c r="C160" i="1" s="1"/>
  <c r="C11" i="1" s="1"/>
  <c r="C10" i="7"/>
  <c r="C44" i="1"/>
  <c r="C56" i="1" s="1"/>
  <c r="C7" i="1" s="1"/>
  <c r="B11" i="7"/>
  <c r="C96" i="1"/>
  <c r="C108" i="1" s="1"/>
  <c r="C9" i="1" s="1"/>
  <c r="C122" i="1"/>
  <c r="C134" i="1" s="1"/>
  <c r="C10" i="1" s="1"/>
  <c r="C70" i="1"/>
  <c r="C82" i="1" s="1"/>
  <c r="C8" i="1" s="1"/>
  <c r="C12" i="7"/>
  <c r="B12" i="7"/>
  <c r="B9" i="7"/>
  <c r="B10" i="7"/>
  <c r="C11" i="7"/>
  <c r="B13" i="7"/>
  <c r="C13" i="7"/>
  <c r="R38" i="7"/>
  <c r="R49" i="7" s="1"/>
  <c r="B8" i="7" s="1"/>
  <c r="F147" i="7"/>
  <c r="V146" i="7" s="1"/>
  <c r="F146" i="7"/>
  <c r="V145" i="7" s="1"/>
  <c r="E155" i="7"/>
  <c r="F154" i="7"/>
  <c r="V153" i="7" s="1"/>
  <c r="T66" i="7" l="1"/>
  <c r="T77" i="7" s="1"/>
  <c r="U129" i="7"/>
  <c r="E11" i="7" s="1"/>
  <c r="F166" i="7"/>
  <c r="V166" i="7" s="1"/>
  <c r="U155" i="7"/>
  <c r="V154" i="7"/>
  <c r="T170" i="7"/>
  <c r="V144" i="7"/>
  <c r="V128" i="7"/>
  <c r="G115" i="7"/>
  <c r="W115" i="7" s="1"/>
  <c r="V76" i="7"/>
  <c r="V118" i="7"/>
  <c r="V38" i="7"/>
  <c r="W42" i="7"/>
  <c r="V180" i="7"/>
  <c r="C13" i="1"/>
  <c r="B14" i="7"/>
  <c r="G149" i="7"/>
  <c r="W148" i="7" s="1"/>
  <c r="E161" i="7"/>
  <c r="U161" i="7" s="1"/>
  <c r="E162" i="7"/>
  <c r="U162" i="7" s="1"/>
  <c r="D170" i="7"/>
  <c r="G33" i="7"/>
  <c r="W33" i="7" s="1"/>
  <c r="G140" i="7"/>
  <c r="W140" i="7" s="1"/>
  <c r="G71" i="7"/>
  <c r="W70" i="7" s="1"/>
  <c r="G120" i="7"/>
  <c r="W119" i="7" s="1"/>
  <c r="G123" i="7"/>
  <c r="W122" i="7" s="1"/>
  <c r="G148" i="7"/>
  <c r="W147" i="7" s="1"/>
  <c r="G34" i="7"/>
  <c r="W34" i="7" s="1"/>
  <c r="G121" i="7"/>
  <c r="W120" i="7" s="1"/>
  <c r="G175" i="7"/>
  <c r="W174" i="7" s="1"/>
  <c r="F118" i="7"/>
  <c r="G60" i="7"/>
  <c r="W60" i="7" s="1"/>
  <c r="W47" i="7"/>
  <c r="G37" i="7"/>
  <c r="W37" i="7" s="1"/>
  <c r="G65" i="7"/>
  <c r="W65" i="7" s="1"/>
  <c r="G29" i="7"/>
  <c r="W29" i="7" s="1"/>
  <c r="G113" i="7"/>
  <c r="W113" i="7" s="1"/>
  <c r="G110" i="7"/>
  <c r="W110" i="7" s="1"/>
  <c r="F61" i="7"/>
  <c r="V61" i="7" s="1"/>
  <c r="G32" i="7"/>
  <c r="W32" i="7" s="1"/>
  <c r="G136" i="7"/>
  <c r="W136" i="7" s="1"/>
  <c r="G176" i="7"/>
  <c r="W175" i="7" s="1"/>
  <c r="G164" i="7"/>
  <c r="W164" i="7" s="1"/>
  <c r="G138" i="7"/>
  <c r="W138" i="7" s="1"/>
  <c r="G111" i="7"/>
  <c r="W111" i="7" s="1"/>
  <c r="G150" i="7"/>
  <c r="W149" i="7" s="1"/>
  <c r="G31" i="7"/>
  <c r="W31" i="7" s="1"/>
  <c r="G124" i="7"/>
  <c r="W123" i="7" s="1"/>
  <c r="F129" i="7"/>
  <c r="G139" i="7"/>
  <c r="W139" i="7" s="1"/>
  <c r="G114" i="7"/>
  <c r="W114" i="7" s="1"/>
  <c r="F38" i="7"/>
  <c r="G72" i="7"/>
  <c r="W71" i="7" s="1"/>
  <c r="G165" i="7"/>
  <c r="W165" i="7" s="1"/>
  <c r="G30" i="7"/>
  <c r="W30" i="7" s="1"/>
  <c r="G109" i="7"/>
  <c r="W109" i="7" s="1"/>
  <c r="G112" i="7"/>
  <c r="W112" i="7" s="1"/>
  <c r="G36" i="7"/>
  <c r="W36" i="7" s="1"/>
  <c r="C9" i="7"/>
  <c r="F144" i="7"/>
  <c r="G135" i="7"/>
  <c r="W135" i="7" s="1"/>
  <c r="D10" i="7"/>
  <c r="G177" i="7"/>
  <c r="W176" i="7" s="1"/>
  <c r="G172" i="7"/>
  <c r="W171" i="7" s="1"/>
  <c r="F181" i="7"/>
  <c r="G173" i="7"/>
  <c r="W172" i="7" s="1"/>
  <c r="G179" i="7"/>
  <c r="W178" i="7" s="1"/>
  <c r="E57" i="7"/>
  <c r="U57" i="7" s="1"/>
  <c r="D66" i="7"/>
  <c r="G62" i="7"/>
  <c r="W62" i="7" s="1"/>
  <c r="G69" i="7"/>
  <c r="W68" i="7" s="1"/>
  <c r="F77" i="7"/>
  <c r="G68" i="7"/>
  <c r="W67" i="7" s="1"/>
  <c r="E58" i="7"/>
  <c r="U58" i="7" s="1"/>
  <c r="D12" i="7"/>
  <c r="G75" i="7"/>
  <c r="W74" i="7" s="1"/>
  <c r="F155" i="7"/>
  <c r="G146" i="7"/>
  <c r="W145" i="7" s="1"/>
  <c r="G154" i="7"/>
  <c r="W153" i="7" s="1"/>
  <c r="G147" i="7"/>
  <c r="W146" i="7" s="1"/>
  <c r="V129" i="7" l="1"/>
  <c r="G166" i="7"/>
  <c r="W166" i="7" s="1"/>
  <c r="T181" i="7"/>
  <c r="D13" i="7" s="1"/>
  <c r="V155" i="7"/>
  <c r="W128" i="7"/>
  <c r="W144" i="7"/>
  <c r="W38" i="7"/>
  <c r="U66" i="7"/>
  <c r="U77" i="7" s="1"/>
  <c r="W118" i="7"/>
  <c r="W154" i="7"/>
  <c r="U170" i="7"/>
  <c r="W76" i="7"/>
  <c r="W180" i="7"/>
  <c r="F162" i="7"/>
  <c r="V162" i="7" s="1"/>
  <c r="F161" i="7"/>
  <c r="V161" i="7" s="1"/>
  <c r="E170" i="7"/>
  <c r="E10" i="7"/>
  <c r="G129" i="7"/>
  <c r="E12" i="7"/>
  <c r="G61" i="7"/>
  <c r="W61" i="7" s="1"/>
  <c r="F11" i="7"/>
  <c r="G144" i="7"/>
  <c r="G118" i="7"/>
  <c r="G38" i="7"/>
  <c r="G181" i="7"/>
  <c r="F58" i="7"/>
  <c r="V58" i="7" s="1"/>
  <c r="G77" i="7"/>
  <c r="D9" i="7"/>
  <c r="F57" i="7"/>
  <c r="V57" i="7" s="1"/>
  <c r="E66" i="7"/>
  <c r="G155" i="7"/>
  <c r="W129" i="7" l="1"/>
  <c r="G11" i="7" s="1"/>
  <c r="U181" i="7"/>
  <c r="E13" i="7" s="1"/>
  <c r="W155" i="7"/>
  <c r="G12" i="7" s="1"/>
  <c r="V170" i="7"/>
  <c r="G161" i="7"/>
  <c r="W161" i="7" s="1"/>
  <c r="V66" i="7"/>
  <c r="V77" i="7" s="1"/>
  <c r="F170" i="7"/>
  <c r="G162" i="7"/>
  <c r="W162" i="7" s="1"/>
  <c r="F12" i="7"/>
  <c r="F66" i="7"/>
  <c r="G57" i="7"/>
  <c r="W57" i="7" s="1"/>
  <c r="E9" i="7"/>
  <c r="G58" i="7"/>
  <c r="W58" i="7" s="1"/>
  <c r="W170" i="7" l="1"/>
  <c r="W181" i="7" s="1"/>
  <c r="G13" i="7" s="1"/>
  <c r="G170" i="7"/>
  <c r="V181" i="7"/>
  <c r="F13" i="7" s="1"/>
  <c r="W66" i="7"/>
  <c r="F9" i="7"/>
  <c r="G66" i="7"/>
  <c r="N32" i="7"/>
  <c r="W77" i="7" l="1"/>
  <c r="G9" i="7" s="1"/>
  <c r="J32" i="7"/>
  <c r="L32" i="7"/>
  <c r="K32" i="7"/>
  <c r="M32" i="7"/>
  <c r="S44" i="7" l="1"/>
  <c r="S43" i="7"/>
  <c r="S46" i="7"/>
  <c r="S40" i="7"/>
  <c r="S48" i="7" l="1"/>
  <c r="S49" i="7" s="1"/>
  <c r="T40" i="7"/>
  <c r="T39" i="7"/>
  <c r="T46" i="7"/>
  <c r="T43" i="7"/>
  <c r="T44" i="7"/>
  <c r="T48" i="7" l="1"/>
  <c r="T49" i="7" s="1"/>
  <c r="U44" i="7"/>
  <c r="U43" i="7"/>
  <c r="U46" i="7"/>
  <c r="U39" i="7"/>
  <c r="C8" i="7"/>
  <c r="C14" i="7" s="1"/>
  <c r="U40" i="7"/>
  <c r="U48" i="7" l="1"/>
  <c r="U49" i="7" s="1"/>
  <c r="V40" i="7"/>
  <c r="D8" i="7"/>
  <c r="D14" i="7" s="1"/>
  <c r="C15" i="7"/>
  <c r="C16" i="7" s="1"/>
  <c r="V39" i="7"/>
  <c r="V46" i="7"/>
  <c r="V43" i="7"/>
  <c r="V44" i="7"/>
  <c r="V48" i="7" l="1"/>
  <c r="V49" i="7" s="1"/>
  <c r="D15" i="7"/>
  <c r="D16" i="7" s="1"/>
  <c r="W44" i="7"/>
  <c r="W40" i="7"/>
  <c r="W43" i="7"/>
  <c r="W46" i="7"/>
  <c r="E8" i="7"/>
  <c r="E14" i="7" s="1"/>
  <c r="W39" i="7"/>
  <c r="W48" i="7" l="1"/>
  <c r="W49" i="7" s="1"/>
  <c r="G8" i="7" s="1"/>
  <c r="G14" i="7" s="1"/>
  <c r="F8" i="7"/>
  <c r="E15" i="7"/>
  <c r="E16" i="7" s="1"/>
  <c r="G15" i="7" l="1"/>
  <c r="G16" i="7" s="1"/>
  <c r="F14" i="7"/>
  <c r="F15" i="7" s="1"/>
  <c r="F16" i="7" s="1"/>
</calcChain>
</file>

<file path=xl/sharedStrings.xml><?xml version="1.0" encoding="utf-8"?>
<sst xmlns="http://schemas.openxmlformats.org/spreadsheetml/2006/main" count="1235" uniqueCount="216">
  <si>
    <t>Contents of 7.73 Program Review Appendix spreadsheet</t>
  </si>
  <si>
    <t>Stakeholder Memo Table 3 showing the calculation of the 2024 emissions provided in Stakeholder Memo Table 3.</t>
  </si>
  <si>
    <t>Stakeholder Memo Table 4 showing the calculation of the 2024 emissions provided in Stakeholder Memo Table 4.</t>
  </si>
  <si>
    <t>Stakeholder Memo Table 5 showing the calculation of draft 310 CMR 7.73 Tables 1-8 Gas Operator Limits in metric tons of methane (mt CH4) using updated Table 9 emission factors.</t>
  </si>
  <si>
    <t>END OF WORKSHEET</t>
  </si>
  <si>
    <t>This tab shows the calculation of the 2024 emissions provided in Stakeholder Memo Table 3.</t>
  </si>
  <si>
    <r>
      <t>The emissions are calculated in metric tons (mt) CO</t>
    </r>
    <r>
      <rPr>
        <b/>
        <vertAlign val="subscript"/>
        <sz val="16"/>
        <color theme="1"/>
        <rFont val="Aptos"/>
        <family val="2"/>
      </rPr>
      <t>2</t>
    </r>
    <r>
      <rPr>
        <b/>
        <sz val="16"/>
        <color theme="1"/>
        <rFont val="Aptos"/>
        <family val="2"/>
      </rPr>
      <t>e and mt CH</t>
    </r>
    <r>
      <rPr>
        <b/>
        <vertAlign val="subscript"/>
        <sz val="16"/>
        <color theme="1"/>
        <rFont val="Aptos"/>
        <family val="2"/>
      </rPr>
      <t>4</t>
    </r>
    <r>
      <rPr>
        <b/>
        <sz val="16"/>
        <color theme="1"/>
        <rFont val="Aptos"/>
        <family val="2"/>
      </rPr>
      <t xml:space="preserve"> using the current 310 CMR 7.73 Table 9 emission factors.</t>
    </r>
  </si>
  <si>
    <r>
      <t>The emission factors from 310 CMR 7.73 Table 9 are converted below to mt CH</t>
    </r>
    <r>
      <rPr>
        <b/>
        <vertAlign val="subscript"/>
        <sz val="16"/>
        <color theme="1"/>
        <rFont val="Aptos"/>
        <family val="2"/>
      </rPr>
      <t>4</t>
    </r>
    <r>
      <rPr>
        <b/>
        <sz val="16"/>
        <color theme="1"/>
        <rFont val="Aptos"/>
        <family val="2"/>
      </rPr>
      <t xml:space="preserve"> for comparison with the updated emission factors on the 'Stakeholder Memo Table 5' tab.</t>
    </r>
  </si>
  <si>
    <t>Regulated Entities (Tables 1-7)</t>
  </si>
  <si>
    <r>
      <t xml:space="preserve">2024 emissions </t>
    </r>
    <r>
      <rPr>
        <b/>
        <sz val="12"/>
        <color theme="0"/>
        <rFont val="Aptos"/>
        <family val="2"/>
      </rPr>
      <t>limits</t>
    </r>
    <r>
      <rPr>
        <sz val="12"/>
        <color theme="0"/>
        <rFont val="Aptos"/>
        <family val="2"/>
      </rPr>
      <t xml:space="preserve"> in Tables 1-7 of the 310 CMR 7.73 regulation (in mt CO2e)</t>
    </r>
  </si>
  <si>
    <r>
      <t xml:space="preserve">2024 </t>
    </r>
    <r>
      <rPr>
        <b/>
        <sz val="12"/>
        <color theme="0"/>
        <rFont val="Aptos"/>
        <family val="2"/>
      </rPr>
      <t>reported</t>
    </r>
    <r>
      <rPr>
        <sz val="12"/>
        <color theme="0"/>
        <rFont val="Aptos"/>
        <family val="2"/>
      </rPr>
      <t xml:space="preserve"> emissions as shown in Stakeholder Memo Table 3 (</t>
    </r>
    <r>
      <rPr>
        <b/>
        <sz val="12"/>
        <color theme="0"/>
        <rFont val="Aptos"/>
        <family val="2"/>
      </rPr>
      <t>in mt CO2e</t>
    </r>
    <r>
      <rPr>
        <sz val="12"/>
        <color theme="0"/>
        <rFont val="Aptos"/>
        <family val="2"/>
      </rPr>
      <t>)</t>
    </r>
  </si>
  <si>
    <r>
      <t xml:space="preserve">2024 </t>
    </r>
    <r>
      <rPr>
        <b/>
        <sz val="12"/>
        <color theme="0"/>
        <rFont val="Aptos"/>
        <family val="2"/>
      </rPr>
      <t>reported</t>
    </r>
    <r>
      <rPr>
        <sz val="12"/>
        <color theme="0"/>
        <rFont val="Aptos"/>
        <family val="2"/>
      </rPr>
      <t xml:space="preserve"> emissions as shown in Stakeholder Memo Table 3 (</t>
    </r>
    <r>
      <rPr>
        <b/>
        <sz val="12"/>
        <color theme="0"/>
        <rFont val="Aptos"/>
        <family val="2"/>
      </rPr>
      <t>in mt CH4</t>
    </r>
    <r>
      <rPr>
        <sz val="12"/>
        <color theme="0"/>
        <rFont val="Aptos"/>
        <family val="2"/>
      </rPr>
      <t>)</t>
    </r>
  </si>
  <si>
    <r>
      <rPr>
        <b/>
        <sz val="12"/>
        <color theme="1"/>
        <rFont val="Aptos"/>
        <family val="2"/>
      </rPr>
      <t xml:space="preserve">Table 1 </t>
    </r>
    <r>
      <rPr>
        <sz val="12"/>
        <color theme="1"/>
        <rFont val="Aptos"/>
        <family val="2"/>
      </rPr>
      <t>National Grid</t>
    </r>
  </si>
  <si>
    <r>
      <rPr>
        <b/>
        <sz val="12"/>
        <color theme="1"/>
        <rFont val="Aptos"/>
        <family val="2"/>
      </rPr>
      <t xml:space="preserve">Table 2 </t>
    </r>
    <r>
      <rPr>
        <sz val="12"/>
        <color theme="1"/>
        <rFont val="Aptos"/>
        <family val="2"/>
      </rPr>
      <t xml:space="preserve">Eversource EGMA </t>
    </r>
  </si>
  <si>
    <r>
      <rPr>
        <b/>
        <sz val="12"/>
        <color theme="1"/>
        <rFont val="Aptos"/>
        <family val="2"/>
      </rPr>
      <t xml:space="preserve">Table 3 </t>
    </r>
    <r>
      <rPr>
        <sz val="12"/>
        <color theme="1"/>
        <rFont val="Aptos"/>
        <family val="2"/>
      </rPr>
      <t>Berkshire Gas Company</t>
    </r>
  </si>
  <si>
    <r>
      <rPr>
        <b/>
        <sz val="12"/>
        <color theme="1"/>
        <rFont val="Aptos"/>
        <family val="2"/>
      </rPr>
      <t xml:space="preserve">Table 4 </t>
    </r>
    <r>
      <rPr>
        <sz val="12"/>
        <color theme="1"/>
        <rFont val="Aptos"/>
        <family val="2"/>
      </rPr>
      <t>Unitil (Fitchburg Gas)</t>
    </r>
  </si>
  <si>
    <r>
      <rPr>
        <b/>
        <sz val="12"/>
        <color theme="1"/>
        <rFont val="Aptos"/>
        <family val="2"/>
      </rPr>
      <t xml:space="preserve">Table 5 </t>
    </r>
    <r>
      <rPr>
        <sz val="12"/>
        <color theme="1"/>
        <rFont val="Aptos"/>
        <family val="2"/>
      </rPr>
      <t>Liberty Utilities</t>
    </r>
  </si>
  <si>
    <r>
      <rPr>
        <b/>
        <sz val="12"/>
        <color theme="1"/>
        <rFont val="Aptos"/>
        <family val="2"/>
      </rPr>
      <t xml:space="preserve">Table 6 </t>
    </r>
    <r>
      <rPr>
        <sz val="12"/>
        <color theme="1"/>
        <rFont val="Aptos"/>
        <family val="2"/>
      </rPr>
      <t>Eversource NSTAR</t>
    </r>
  </si>
  <si>
    <t>Table 7 total</t>
  </si>
  <si>
    <t>Pipelines and services by material type</t>
  </si>
  <si>
    <t>EFs converted to mt CH4 using the IPCC AR4 CH4 GWP</t>
  </si>
  <si>
    <t>main pipelines</t>
  </si>
  <si>
    <t>mt CO2e/mile</t>
  </si>
  <si>
    <t>mt CH4/mile</t>
  </si>
  <si>
    <t>cast iron</t>
  </si>
  <si>
    <t>unprotected steel</t>
  </si>
  <si>
    <t>protected steel</t>
  </si>
  <si>
    <t>plastic</t>
  </si>
  <si>
    <t>services</t>
  </si>
  <si>
    <t>mt CO2e/service</t>
  </si>
  <si>
    <t>mt CH4/service</t>
  </si>
  <si>
    <t>copper</t>
  </si>
  <si>
    <t>The Global Warming Potential (GWP) of CH4:</t>
  </si>
  <si>
    <t>The GWP from the IPCC's 4th Assessment Report used to calculate the Table 9 emission factors in 310 CMR 7.73 is 25.</t>
  </si>
  <si>
    <t>Miles</t>
  </si>
  <si>
    <t>2024 reported miles</t>
  </si>
  <si>
    <t>2024 reported emissions in mt CO2e</t>
  </si>
  <si>
    <t>2024 reported emissions converted to mt CH4</t>
  </si>
  <si>
    <t>Steel, Cathodically Unprotected and Uncoated</t>
  </si>
  <si>
    <t>Steel, Cathodically Unprotected and Coated</t>
  </si>
  <si>
    <t>Steel, Cathodically Protected and Uncoated</t>
  </si>
  <si>
    <t>Steel, Cathodically Protected and Coated</t>
  </si>
  <si>
    <t>Plastic</t>
  </si>
  <si>
    <t>Cast or Wrought Iron</t>
  </si>
  <si>
    <t>Ductile Iron</t>
  </si>
  <si>
    <t>Copper</t>
  </si>
  <si>
    <t>Other</t>
  </si>
  <si>
    <t>Miles Total</t>
  </si>
  <si>
    <t>Services</t>
  </si>
  <si>
    <t>2024 reported services</t>
  </si>
  <si>
    <t>Services Total</t>
  </si>
  <si>
    <t>Total</t>
  </si>
  <si>
    <t>NO DATA</t>
  </si>
  <si>
    <t>This tab shows the calculation of the 2024 emissions provided in Stakeholder Memo Table 4.</t>
  </si>
  <si>
    <t>The emissions are calculated in mt CH4 on the 'Stakeholder Memo Table 5' tab and converted to mt CO2e for comparison.</t>
  </si>
  <si>
    <r>
      <t xml:space="preserve">2024 </t>
    </r>
    <r>
      <rPr>
        <b/>
        <sz val="11"/>
        <color theme="0"/>
        <rFont val="Aptos"/>
        <family val="2"/>
      </rPr>
      <t>reported</t>
    </r>
    <r>
      <rPr>
        <sz val="11"/>
        <color theme="0"/>
        <rFont val="Aptos"/>
        <family val="2"/>
      </rPr>
      <t xml:space="preserve"> emissions as shown in Stakeholder Memo Table 4 (in mt CO2e)</t>
    </r>
  </si>
  <si>
    <r>
      <t xml:space="preserve">2024 </t>
    </r>
    <r>
      <rPr>
        <b/>
        <sz val="11"/>
        <color theme="0"/>
        <rFont val="Aptos"/>
        <family val="2"/>
      </rPr>
      <t>reported</t>
    </r>
    <r>
      <rPr>
        <sz val="11"/>
        <color theme="0"/>
        <rFont val="Aptos"/>
        <family val="2"/>
      </rPr>
      <t xml:space="preserve"> emissions as shown in Stakeholder Memo Table 4 (in mt CH4)</t>
    </r>
  </si>
  <si>
    <r>
      <rPr>
        <b/>
        <sz val="11"/>
        <color theme="1"/>
        <rFont val="Aptos"/>
        <family val="2"/>
      </rPr>
      <t xml:space="preserve">Table 1 </t>
    </r>
    <r>
      <rPr>
        <sz val="11"/>
        <color theme="1"/>
        <rFont val="Aptos"/>
        <family val="2"/>
      </rPr>
      <t>National Grid</t>
    </r>
  </si>
  <si>
    <r>
      <rPr>
        <b/>
        <sz val="11"/>
        <color theme="1"/>
        <rFont val="Aptos"/>
        <family val="2"/>
      </rPr>
      <t xml:space="preserve">Table 2 </t>
    </r>
    <r>
      <rPr>
        <sz val="11"/>
        <color theme="1"/>
        <rFont val="Aptos"/>
        <family val="2"/>
      </rPr>
      <t xml:space="preserve">Eversource EGMA </t>
    </r>
  </si>
  <si>
    <r>
      <rPr>
        <b/>
        <sz val="11"/>
        <color theme="1"/>
        <rFont val="Aptos"/>
        <family val="2"/>
      </rPr>
      <t xml:space="preserve">Table 3 </t>
    </r>
    <r>
      <rPr>
        <sz val="11"/>
        <color theme="1"/>
        <rFont val="Aptos"/>
        <family val="2"/>
      </rPr>
      <t>Berkshire Gas Company</t>
    </r>
  </si>
  <si>
    <r>
      <rPr>
        <b/>
        <sz val="11"/>
        <color theme="1"/>
        <rFont val="Aptos"/>
        <family val="2"/>
      </rPr>
      <t xml:space="preserve">Table 4 </t>
    </r>
    <r>
      <rPr>
        <sz val="11"/>
        <color theme="1"/>
        <rFont val="Aptos"/>
        <family val="2"/>
      </rPr>
      <t>Unitil (Fitchburg Gas)</t>
    </r>
  </si>
  <si>
    <r>
      <rPr>
        <b/>
        <sz val="11"/>
        <color theme="1"/>
        <rFont val="Aptos"/>
        <family val="2"/>
      </rPr>
      <t xml:space="preserve">Table 5 </t>
    </r>
    <r>
      <rPr>
        <sz val="11"/>
        <color theme="1"/>
        <rFont val="Aptos"/>
        <family val="2"/>
      </rPr>
      <t>Liberty Utilities</t>
    </r>
  </si>
  <si>
    <r>
      <rPr>
        <b/>
        <sz val="11"/>
        <color theme="1"/>
        <rFont val="Aptos"/>
        <family val="2"/>
      </rPr>
      <t xml:space="preserve">Table 6 </t>
    </r>
    <r>
      <rPr>
        <sz val="11"/>
        <color theme="1"/>
        <rFont val="Aptos"/>
        <family val="2"/>
      </rPr>
      <t>Eversource NSTAR</t>
    </r>
  </si>
  <si>
    <t xml:space="preserve"> Calculation of draft 310 CMR 7.73 Tables 1-8 Gas Operator Limits in metric tons of methane (mt CH4) using updated Table 9 emission factors</t>
  </si>
  <si>
    <t>LDC-specific data is shown in three sections: Pipeline miles and sevices projected data (columns A through G), data used in pipeline and services projections (columns I through  O), emissions calculations (columns Q through W),  and pipeline miles and services reported under 7.73 (columns Y through AF).</t>
  </si>
  <si>
    <t xml:space="preserve">Draft limits* shown in Stakeholder Memo Table 5 (mt CH4) for 2025-2029
</t>
  </si>
  <si>
    <t>Updated Emission Factors for 310 CMR 7.73 Table 9</t>
  </si>
  <si>
    <t xml:space="preserve">EPA GHG Annex 3.6 Emission Factors </t>
  </si>
  <si>
    <t>Regulated Entities (Tables 1-8)</t>
  </si>
  <si>
    <t>2025</t>
  </si>
  <si>
    <t>2026</t>
  </si>
  <si>
    <t>2027</t>
  </si>
  <si>
    <t>2028</t>
  </si>
  <si>
    <t>2029</t>
  </si>
  <si>
    <t>mains/pipelines</t>
  </si>
  <si>
    <t>kg CH4/mile</t>
  </si>
  <si>
    <t>cast/wrought/ductile (c/w/d) iron</t>
  </si>
  <si>
    <t>unprotected steel, other</t>
  </si>
  <si>
    <r>
      <rPr>
        <b/>
        <sz val="12"/>
        <color theme="1"/>
        <rFont val="Aptos"/>
        <family val="2"/>
      </rPr>
      <t>Table 3</t>
    </r>
    <r>
      <rPr>
        <sz val="12"/>
        <color theme="1"/>
        <rFont val="Aptos"/>
        <family val="2"/>
      </rPr>
      <t xml:space="preserve"> Berkshire Gas Company</t>
    </r>
  </si>
  <si>
    <t>No 2028 data</t>
  </si>
  <si>
    <t>No 2029 data</t>
  </si>
  <si>
    <t>kg CH4/service</t>
  </si>
  <si>
    <t>unprotected steel, c/w/d iron, other</t>
  </si>
  <si>
    <t>Table 7 Total**</t>
  </si>
  <si>
    <t>Table 8 Set-aside (at 5% of Total)**</t>
  </si>
  <si>
    <t>Table 8 Aggregate**</t>
  </si>
  <si>
    <t>The updated emission factors for 310 CMR 7.73 Table 9 are EPA's Annex 3.6 emission factors converted to mt CH4.</t>
  </si>
  <si>
    <r>
      <t xml:space="preserve">EPA emission factors from Annex 3.6 </t>
    </r>
    <r>
      <rPr>
        <i/>
        <sz val="12"/>
        <color theme="1"/>
        <rFont val="Aptos"/>
        <family val="2"/>
      </rPr>
      <t>Methodology for Estimating CH4, CO2, and N2O Emissions from Natural Gas Systems</t>
    </r>
    <r>
      <rPr>
        <sz val="12"/>
        <color theme="1"/>
        <rFont val="Aptos"/>
        <family val="2"/>
      </rPr>
      <t>, electronic tables, from the 1990-2022 National GHG Inventory</t>
    </r>
  </si>
  <si>
    <t>Natural Gas and Petroleum Systems in the GHG Inventory: Additional Information on the 1990-2022 GHG Inventory (published April 2024) | US EPA</t>
  </si>
  <si>
    <t>REGULATED ENTITIES: PIPELINE MILES AND NUMBER OF SERVICES</t>
  </si>
  <si>
    <t>DATA USED TO DETERMINE PROJECTED PIPELINE MILES AND SERVICES FOR 2025-2029</t>
  </si>
  <si>
    <t>mtCH4 EMISSIONS CALCULATIONS FOR DRAFT LIMITS for 2025-2029 (with 2024 from reported data using updated emission factors).</t>
  </si>
  <si>
    <t>PIPELINE MILES AND SERVICES REPORTED TO MassDEP UNDER 310 CMR 7.73 (2018-2024)</t>
  </si>
  <si>
    <t>National Grid</t>
  </si>
  <si>
    <t>reported 2024</t>
  </si>
  <si>
    <t>projected 2025</t>
  </si>
  <si>
    <t>projected 2026</t>
  </si>
  <si>
    <t>projected 2027</t>
  </si>
  <si>
    <t>projected 2028</t>
  </si>
  <si>
    <t>projected 2029</t>
  </si>
  <si>
    <r>
      <t xml:space="preserve">reductions (24-GSEP-03 NG-GPP-2 Tables 9, 10 &amp; 11 p32, 33 &amp; 34; </t>
    </r>
    <r>
      <rPr>
        <b/>
        <i/>
        <sz val="12"/>
        <rFont val="Aptos"/>
        <family val="2"/>
      </rPr>
      <t>page 43 for 2025</t>
    </r>
    <r>
      <rPr>
        <b/>
        <sz val="12"/>
        <rFont val="Aptos"/>
        <family val="2"/>
      </rPr>
      <t>)</t>
    </r>
  </si>
  <si>
    <t>Miles, Services, Total</t>
  </si>
  <si>
    <t>2024</t>
  </si>
  <si>
    <t>Reported 2018</t>
  </si>
  <si>
    <t>Reported 2019</t>
  </si>
  <si>
    <t>Reported 2020</t>
  </si>
  <si>
    <t>Reported 2021</t>
  </si>
  <si>
    <t>Reported 2022</t>
  </si>
  <si>
    <t>Reported 2023</t>
  </si>
  <si>
    <t>Reported 2024</t>
  </si>
  <si>
    <t>type</t>
  </si>
  <si>
    <t>Miles: Steel, Cathodically Unprotected and Uncoated</t>
  </si>
  <si>
    <t>CI miles (includes relining)</t>
  </si>
  <si>
    <t>Miles: Steel, Cathodically Unprotected and Coated</t>
  </si>
  <si>
    <t>Unprot steel miles</t>
  </si>
  <si>
    <t>Miles: Steel, Cathodically Protected and Uncoated</t>
  </si>
  <si>
    <t>services*</t>
  </si>
  <si>
    <t>Miles: Steel, Cathodically Protected and Coated</t>
  </si>
  <si>
    <t xml:space="preserve">*Calculation of services: </t>
  </si>
  <si>
    <t>Miles: Plastic</t>
  </si>
  <si>
    <t>Plastic (plus RCI)</t>
  </si>
  <si>
    <t>Service values were not provided in 24-GSEP-03 so a rounded average of leak-prone services removed between 2020 and 2024 was calculated from</t>
  </si>
  <si>
    <t>Miles: Cast or Wrought Iron</t>
  </si>
  <si>
    <t>reported values (shown in Columns AA through AE). For example, values shown in 2021 = 2020-2021 for each material type.</t>
  </si>
  <si>
    <t>Miles: Ductile Iron</t>
  </si>
  <si>
    <t>Miles: Copper</t>
  </si>
  <si>
    <t>Calculation of services:</t>
  </si>
  <si>
    <t>Miles: Other</t>
  </si>
  <si>
    <t>material type</t>
  </si>
  <si>
    <t>2021</t>
  </si>
  <si>
    <t>2022</t>
  </si>
  <si>
    <t>2023</t>
  </si>
  <si>
    <t>Average</t>
  </si>
  <si>
    <t>Total Miles</t>
  </si>
  <si>
    <t>Steel unprot/uncoat</t>
  </si>
  <si>
    <t>Services: Steel, Cathodically Unprotected and Uncoated</t>
  </si>
  <si>
    <t>Steel unprot/coated</t>
  </si>
  <si>
    <t>Services: Steel, Cathodically Unprotected and Coated</t>
  </si>
  <si>
    <t>Services: Steel, Cathodically Protected and Uncoated</t>
  </si>
  <si>
    <t>Services: Steel, Cathodically Protected and Coated</t>
  </si>
  <si>
    <t>Services: Plastic</t>
  </si>
  <si>
    <t>TOTAL</t>
  </si>
  <si>
    <t>Services: Cast or Wrought Iron</t>
  </si>
  <si>
    <t>Services: Ductile Iron</t>
  </si>
  <si>
    <t>projected growth:</t>
  </si>
  <si>
    <t>Services: Copper</t>
  </si>
  <si>
    <t>Services: Other</t>
  </si>
  <si>
    <t>miles</t>
  </si>
  <si>
    <t xml:space="preserve"> Total Services</t>
  </si>
  <si>
    <t>DATA (used for National Grid's Services Estimates)</t>
  </si>
  <si>
    <t>Eversource EGMA</t>
  </si>
  <si>
    <t>reductions (24-GSEP-05 EGMA-RJB-1, Figure III-2, page 21)</t>
  </si>
  <si>
    <t>total miles</t>
  </si>
  <si>
    <t>reductions (24-GSEP-05, RBJ-1, Figure III-2, p.21)</t>
  </si>
  <si>
    <t>Averages</t>
  </si>
  <si>
    <t>Years</t>
  </si>
  <si>
    <t>steel</t>
  </si>
  <si>
    <t>miles/year</t>
  </si>
  <si>
    <t>cast iron/year</t>
  </si>
  <si>
    <t>steel/year</t>
  </si>
  <si>
    <t>2022-2026</t>
  </si>
  <si>
    <t>2027-2031</t>
  </si>
  <si>
    <t>2032-2034</t>
  </si>
  <si>
    <t>Berkshire</t>
  </si>
  <si>
    <t>reductions (DPU 24-GSEP-02 - Exhibit BGC-JP-3-3)</t>
  </si>
  <si>
    <t>CI miles</t>
  </si>
  <si>
    <t>Unprot&amp;Bare steel miles</t>
  </si>
  <si>
    <t>Unprot Coat steel miles</t>
  </si>
  <si>
    <t>services total</t>
  </si>
  <si>
    <t>Berkshire did not submit proposed work for 2028 and 2029 in the 24-GSEP-02.</t>
  </si>
  <si>
    <t>Unitil (Fitchburg)</t>
  </si>
  <si>
    <t>Unitil (Fitchburg Gas)</t>
  </si>
  <si>
    <r>
      <t xml:space="preserve">reductions (24-GSEP-01 RKCL-5, Attachment B, </t>
    </r>
    <r>
      <rPr>
        <b/>
        <i/>
        <sz val="12"/>
        <rFont val="Aptos"/>
        <family val="2"/>
      </rPr>
      <t>RKCL-1 Table RKCL-8</t>
    </r>
    <r>
      <rPr>
        <b/>
        <sz val="12"/>
        <rFont val="Aptos"/>
        <family val="2"/>
      </rPr>
      <t>)</t>
    </r>
  </si>
  <si>
    <t>DI miles</t>
  </si>
  <si>
    <t>WI miles</t>
  </si>
  <si>
    <t>Bare Steel</t>
  </si>
  <si>
    <t>Unprot Steel</t>
  </si>
  <si>
    <t>Liberty</t>
  </si>
  <si>
    <t>reductions (DPU 24-GSEP-04 Exh LU-NMW-2 (filing) at Table 5 p.16, services Table 4 p.9)</t>
  </si>
  <si>
    <t>projected growth</t>
  </si>
  <si>
    <t>Eversource NSTAR</t>
  </si>
  <si>
    <t>Eversource/NSTAR</t>
  </si>
  <si>
    <r>
      <t>reductions (</t>
    </r>
    <r>
      <rPr>
        <b/>
        <i/>
        <sz val="12"/>
        <rFont val="Aptos"/>
        <family val="2"/>
      </rPr>
      <t>DPU 24-GSEP-06,</t>
    </r>
    <r>
      <rPr>
        <b/>
        <sz val="12"/>
        <rFont val="Aptos"/>
        <family val="2"/>
      </rPr>
      <t xml:space="preserve"> Exhibit ES-RJB-1, </t>
    </r>
    <r>
      <rPr>
        <b/>
        <i/>
        <sz val="12"/>
        <rFont val="Aptos"/>
        <family val="2"/>
      </rPr>
      <t>p. 14</t>
    </r>
    <r>
      <rPr>
        <b/>
        <sz val="12"/>
        <rFont val="Aptos"/>
        <family val="2"/>
      </rPr>
      <t>)</t>
    </r>
  </si>
  <si>
    <t>reductions (24-GSEP-06 ES-RJB-1,Table 6, page 14)</t>
  </si>
  <si>
    <t>Average Reductionss</t>
  </si>
  <si>
    <t>2032-2036</t>
  </si>
  <si>
    <t>2037-2039</t>
  </si>
  <si>
    <t>EMISSION FACTORS (EFs) USED IN CALCULATIONS:</t>
  </si>
  <si>
    <t>EFs from 310 CMR 7.73 Table 9</t>
  </si>
  <si>
    <t>The Global Warming Potential (GWP) of methane (CH4):</t>
  </si>
  <si>
    <t>This appendix contains the following three worksheets:</t>
  </si>
  <si>
    <t>EMISSION LIMITS AND EMISSIONS</t>
  </si>
  <si>
    <t>CALCULATION OF EMISSIONS FOR NATIONAL GRID:</t>
  </si>
  <si>
    <t>CALCULATION OF EMISSIONS FOR EVERSOURCE EGMA</t>
  </si>
  <si>
    <t>CALCULATION OF EMISSIONS FOR BERKSHIRE</t>
  </si>
  <si>
    <t>CALCULATION OF EMISSIONS FOR UNITIL (FITCHBURG)</t>
  </si>
  <si>
    <t>CALCULATION OF EMISSIONS FOR LIBERTY</t>
  </si>
  <si>
    <t>CALCULATION OF EMISSIONS FOR EVERSOURCE NSTAR</t>
  </si>
  <si>
    <t>2024 (as shown in Stakeholder Memo Table 4)</t>
  </si>
  <si>
    <t>**The last 3 rows for 2028 and 2029 do not include Berkshire.</t>
  </si>
  <si>
    <t>*Note that no projected growth in miles or services is yet included in 2025-2029.</t>
  </si>
  <si>
    <t>Note: This spreadsheet is substantively identical to the one posted in December 2025: the only changes are to use accessible formatting.</t>
  </si>
  <si>
    <t>Stakeholder Memo Table 5 Notes:</t>
  </si>
  <si>
    <t>END OF TABLE</t>
  </si>
  <si>
    <t>Conversion factor (1 kg = 0.001 mt):</t>
  </si>
  <si>
    <t>Notes on Updated Emission Factors:</t>
  </si>
  <si>
    <t>Rows above Row 24 include: Table 5 Draft Limits (cells A6 through G18) and Emission Factors (cells I6 through M20).</t>
  </si>
  <si>
    <t>Rows below Row 24 include: individual LDC-specific data used to calculate emission limits for Table 5</t>
  </si>
  <si>
    <t>Reported 2023 (resubmitted)</t>
  </si>
  <si>
    <t>Reported 2024 (resubmitted)</t>
  </si>
  <si>
    <t>CI miles (calculated in tables below)</t>
  </si>
  <si>
    <t>Unprot steel miles (calculated in tables belwo)</t>
  </si>
  <si>
    <t>*Services were not provided in 24-GSEP-05 so were set equal to the value proposed for 2024 in the 23-GSEP-05.</t>
  </si>
  <si>
    <t>*Services were not provided in 24-GSEP-06 so were set equal to the value proposed for 2024 in the 23-GSEP-06.</t>
  </si>
  <si>
    <t>END OF DOCUMENT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</si>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</sst>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(* #,##0.00_);_(* \(#,##0.00\);_(* &quot;-&quot;??_);_(@_)"/>
    <numFmt numFmtId="164" formatCode="0.0"/>
    <numFmt numFmtId="165" formatCode="0.000"/>
    <numFmt numFmtId="166" formatCode="_(* #,##0_);_(* \(#,##0\);_(* &quot;-&quot;??_);_(@_)"/>
    <numFmt numFmtId="167" formatCode="_(* #,##0.0_);_(* \(#,##0.0\);_(* &quot;-&quot;??_);_(@_)"/>
    <numFmt numFmtId="168" formatCode="#,##0.000000"/>
    <numFmt numFmtId="169" formatCode="0.000000"/>
    <numFmt numFmtId="170" formatCode="_(* #,##0.000000_);_(* \(#,##0.000000\);_(* &quot;-&quot;??_);_(@_)"/>
    <numFmt numFmtId="171" formatCode="_(* #,##0.00000000000000_);_(* \(#,##0.00000000000000\);_(* &quot;-&quot;??_);_(@_)"/>
    <numFmt numFmtId="172" formatCode="_(* #,##0.0000000000000000_);_(* \(#,##0.0000000000000000\);_(* &quot;-&quot;??_);_(@_)"/>
    <numFmt numFmtId="173" formatCode="0.0000000000000000"/>
    <numFmt numFmtId="174" formatCode="0.00000000000000000"/>
    <numFmt numFmtId="175" formatCode="0.00000000000000000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sz val="12"/>
      <color theme="1"/>
      <name val="Aptos"/>
      <family val="2"/>
    </font>
    <font>
      <b/>
      <sz val="14"/>
      <color theme="1"/>
      <name val="Aptos"/>
      <family val="2"/>
    </font>
    <font>
      <b/>
      <sz val="16"/>
      <color theme="1"/>
      <name val="Aptos"/>
      <family val="2"/>
    </font>
    <font>
      <b/>
      <vertAlign val="subscript"/>
      <sz val="16"/>
      <color theme="1"/>
      <name val="Aptos"/>
      <family val="2"/>
    </font>
    <font>
      <sz val="11"/>
      <name val="Aptos"/>
      <family val="2"/>
    </font>
    <font>
      <b/>
      <sz val="11"/>
      <name val="Aptos"/>
      <family val="2"/>
    </font>
    <font>
      <sz val="11"/>
      <color rgb="FFFF0000"/>
      <name val="Aptos"/>
      <family val="2"/>
    </font>
    <font>
      <sz val="11"/>
      <color theme="0"/>
      <name val="Aptos"/>
      <family val="2"/>
    </font>
    <font>
      <b/>
      <sz val="11"/>
      <color theme="0"/>
      <name val="Aptos"/>
      <family val="2"/>
    </font>
    <font>
      <b/>
      <sz val="12"/>
      <color theme="1"/>
      <name val="Aptos"/>
      <family val="2"/>
    </font>
    <font>
      <u/>
      <sz val="12"/>
      <color theme="1"/>
      <name val="Aptos"/>
      <family val="2"/>
    </font>
    <font>
      <sz val="12"/>
      <name val="Aptos"/>
      <family val="2"/>
    </font>
    <font>
      <b/>
      <sz val="12"/>
      <name val="Aptos"/>
      <family val="2"/>
    </font>
    <font>
      <sz val="12"/>
      <color rgb="FFFF0000"/>
      <name val="Aptos"/>
      <family val="2"/>
    </font>
    <font>
      <sz val="12"/>
      <color theme="0"/>
      <name val="Aptos"/>
      <family val="2"/>
    </font>
    <font>
      <b/>
      <sz val="12"/>
      <color theme="0"/>
      <name val="Aptos"/>
      <family val="2"/>
    </font>
    <font>
      <b/>
      <u/>
      <sz val="12"/>
      <color theme="0"/>
      <name val="Aptos"/>
      <family val="2"/>
    </font>
    <font>
      <u/>
      <sz val="12"/>
      <color theme="0"/>
      <name val="Aptos"/>
      <family val="2"/>
    </font>
    <font>
      <u/>
      <sz val="11"/>
      <color theme="0"/>
      <name val="Aptos"/>
      <family val="2"/>
    </font>
    <font>
      <i/>
      <sz val="12"/>
      <color theme="1"/>
      <name val="Aptos"/>
      <family val="2"/>
    </font>
    <font>
      <u/>
      <sz val="12"/>
      <color theme="10"/>
      <name val="Aptos"/>
      <family val="2"/>
    </font>
    <font>
      <sz val="12"/>
      <color theme="7" tint="-0.249977111117893"/>
      <name val="Aptos"/>
      <family val="2"/>
    </font>
    <font>
      <i/>
      <sz val="12"/>
      <name val="Aptos"/>
      <family val="2"/>
    </font>
    <font>
      <b/>
      <sz val="12"/>
      <color theme="8" tint="-0.249977111117893"/>
      <name val="Aptos"/>
      <family val="2"/>
    </font>
    <font>
      <b/>
      <sz val="12"/>
      <color theme="4"/>
      <name val="Aptos"/>
      <family val="2"/>
    </font>
    <font>
      <sz val="12"/>
      <color rgb="FF00B0F0"/>
      <name val="Aptos"/>
      <family val="2"/>
    </font>
    <font>
      <b/>
      <sz val="12"/>
      <color rgb="FF00B050"/>
      <name val="Aptos"/>
      <family val="2"/>
    </font>
    <font>
      <b/>
      <i/>
      <sz val="12"/>
      <name val="Aptos"/>
      <family val="2"/>
    </font>
    <font>
      <b/>
      <i/>
      <sz val="12"/>
      <color rgb="FFFF0000"/>
      <name val="Aptos"/>
      <family val="2"/>
    </font>
    <font>
      <b/>
      <sz val="12"/>
      <color rgb="FFFF0000"/>
      <name val="Aptos"/>
      <family val="2"/>
    </font>
    <font>
      <i/>
      <sz val="12"/>
      <color rgb="FFFF0000"/>
      <name val="Aptos"/>
      <family val="2"/>
    </font>
    <font>
      <b/>
      <i/>
      <sz val="12"/>
      <color rgb="FF00B0F0"/>
      <name val="Aptos"/>
      <family val="2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theme="0" tint="-0.14999847407452621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24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11" fillId="0" borderId="0" xfId="0" applyFont="1"/>
    <xf numFmtId="3" fontId="11" fillId="0" borderId="0" xfId="0" applyNumberFormat="1" applyFont="1"/>
    <xf numFmtId="166" fontId="9" fillId="0" borderId="12" xfId="1" applyNumberFormat="1" applyFont="1" applyBorder="1"/>
    <xf numFmtId="166" fontId="9" fillId="0" borderId="4" xfId="1" applyNumberFormat="1" applyFont="1" applyBorder="1"/>
    <xf numFmtId="166" fontId="9" fillId="0" borderId="4" xfId="1" applyNumberFormat="1" applyFont="1" applyFill="1" applyBorder="1"/>
    <xf numFmtId="166" fontId="9" fillId="0" borderId="12" xfId="1" applyNumberFormat="1" applyFont="1" applyFill="1" applyBorder="1" applyAlignment="1">
      <alignment horizontal="left"/>
    </xf>
    <xf numFmtId="166" fontId="9" fillId="0" borderId="13" xfId="1" applyNumberFormat="1" applyFont="1" applyFill="1" applyBorder="1" applyAlignment="1">
      <alignment horizontal="left"/>
    </xf>
    <xf numFmtId="166" fontId="9" fillId="0" borderId="14" xfId="1" applyNumberFormat="1" applyFont="1" applyFill="1" applyBorder="1" applyAlignment="1">
      <alignment horizontal="left"/>
    </xf>
    <xf numFmtId="0" fontId="3" fillId="0" borderId="8" xfId="0" applyFont="1" applyBorder="1" applyAlignment="1">
      <alignment horizontal="left"/>
    </xf>
    <xf numFmtId="43" fontId="9" fillId="0" borderId="0" xfId="1" applyFont="1" applyBorder="1"/>
    <xf numFmtId="0" fontId="3" fillId="0" borderId="2" xfId="0" applyFont="1" applyBorder="1"/>
    <xf numFmtId="0" fontId="14" fillId="0" borderId="0" xfId="0" applyFont="1" applyAlignment="1">
      <alignment horizontal="left"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18" fillId="0" borderId="0" xfId="0" applyFont="1"/>
    <xf numFmtId="3" fontId="18" fillId="0" borderId="0" xfId="0" applyNumberFormat="1" applyFont="1"/>
    <xf numFmtId="166" fontId="16" fillId="0" borderId="12" xfId="1" applyNumberFormat="1" applyFont="1" applyFill="1" applyBorder="1"/>
    <xf numFmtId="166" fontId="16" fillId="0" borderId="12" xfId="1" applyNumberFormat="1" applyFont="1" applyBorder="1"/>
    <xf numFmtId="166" fontId="16" fillId="0" borderId="13" xfId="1" applyNumberFormat="1" applyFont="1" applyFill="1" applyBorder="1"/>
    <xf numFmtId="166" fontId="16" fillId="0" borderId="13" xfId="1" applyNumberFormat="1" applyFont="1" applyBorder="1"/>
    <xf numFmtId="166" fontId="16" fillId="0" borderId="14" xfId="1" applyNumberFormat="1" applyFont="1" applyFill="1" applyBorder="1"/>
    <xf numFmtId="166" fontId="16" fillId="0" borderId="14" xfId="1" applyNumberFormat="1" applyFont="1" applyBorder="1"/>
    <xf numFmtId="43" fontId="5" fillId="0" borderId="0" xfId="0" applyNumberFormat="1" applyFont="1"/>
    <xf numFmtId="0" fontId="5" fillId="0" borderId="22" xfId="0" applyFont="1" applyBorder="1" applyAlignment="1">
      <alignment horizontal="right"/>
    </xf>
    <xf numFmtId="0" fontId="5" fillId="0" borderId="19" xfId="0" applyFont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0" fontId="5" fillId="0" borderId="0" xfId="0" applyFont="1" applyAlignment="1">
      <alignment horizontal="right"/>
    </xf>
    <xf numFmtId="170" fontId="16" fillId="0" borderId="0" xfId="1" applyNumberFormat="1" applyFont="1" applyFill="1" applyBorder="1" applyAlignment="1">
      <alignment horizontal="center" wrapText="1"/>
    </xf>
    <xf numFmtId="169" fontId="16" fillId="0" borderId="0" xfId="0" applyNumberFormat="1" applyFont="1" applyAlignment="1">
      <alignment horizontal="right" wrapText="1"/>
    </xf>
    <xf numFmtId="0" fontId="14" fillId="0" borderId="15" xfId="0" applyFont="1" applyBorder="1" applyAlignment="1">
      <alignment horizontal="right"/>
    </xf>
    <xf numFmtId="0" fontId="14" fillId="0" borderId="17" xfId="0" applyFont="1" applyBorder="1" applyAlignment="1">
      <alignment horizontal="center" wrapText="1"/>
    </xf>
    <xf numFmtId="0" fontId="14" fillId="0" borderId="21" xfId="0" applyFont="1" applyBorder="1" applyAlignment="1">
      <alignment horizontal="center" wrapText="1"/>
    </xf>
    <xf numFmtId="170" fontId="16" fillId="0" borderId="18" xfId="1" applyNumberFormat="1" applyFont="1" applyFill="1" applyBorder="1" applyAlignment="1">
      <alignment horizontal="center" wrapText="1"/>
    </xf>
    <xf numFmtId="169" fontId="16" fillId="0" borderId="11" xfId="0" applyNumberFormat="1" applyFont="1" applyBorder="1" applyAlignment="1">
      <alignment horizontal="right" wrapText="1"/>
    </xf>
    <xf numFmtId="170" fontId="16" fillId="0" borderId="10" xfId="1" applyNumberFormat="1" applyFont="1" applyFill="1" applyBorder="1" applyAlignment="1">
      <alignment horizontal="center" wrapText="1"/>
    </xf>
    <xf numFmtId="169" fontId="16" fillId="0" borderId="9" xfId="0" applyNumberFormat="1" applyFont="1" applyBorder="1" applyAlignment="1">
      <alignment horizontal="right" wrapText="1"/>
    </xf>
    <xf numFmtId="0" fontId="14" fillId="0" borderId="8" xfId="0" applyFont="1" applyBorder="1" applyAlignment="1">
      <alignment horizontal="left"/>
    </xf>
    <xf numFmtId="3" fontId="5" fillId="0" borderId="0" xfId="0" applyNumberFormat="1" applyFont="1"/>
    <xf numFmtId="0" fontId="16" fillId="0" borderId="0" xfId="0" applyFont="1" applyAlignment="1">
      <alignment horizontal="right"/>
    </xf>
    <xf numFmtId="167" fontId="16" fillId="0" borderId="4" xfId="1" applyNumberFormat="1" applyFont="1" applyFill="1" applyBorder="1"/>
    <xf numFmtId="166" fontId="16" fillId="0" borderId="4" xfId="1" applyNumberFormat="1" applyFont="1" applyBorder="1"/>
    <xf numFmtId="43" fontId="16" fillId="0" borderId="0" xfId="1" applyFont="1" applyBorder="1"/>
    <xf numFmtId="166" fontId="16" fillId="0" borderId="4" xfId="1" applyNumberFormat="1" applyFont="1" applyFill="1" applyBorder="1"/>
    <xf numFmtId="167" fontId="16" fillId="0" borderId="0" xfId="1" applyNumberFormat="1" applyFont="1" applyFill="1" applyBorder="1"/>
    <xf numFmtId="166" fontId="16" fillId="0" borderId="0" xfId="1" applyNumberFormat="1" applyFont="1" applyBorder="1"/>
    <xf numFmtId="0" fontId="19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6" xfId="0" applyFont="1" applyBorder="1"/>
    <xf numFmtId="166" fontId="16" fillId="0" borderId="7" xfId="1" applyNumberFormat="1" applyFont="1" applyBorder="1"/>
    <xf numFmtId="43" fontId="16" fillId="0" borderId="6" xfId="1" applyFont="1" applyBorder="1"/>
    <xf numFmtId="43" fontId="16" fillId="0" borderId="0" xfId="1" applyFont="1" applyBorder="1" applyAlignment="1">
      <alignment horizontal="left"/>
    </xf>
    <xf numFmtId="43" fontId="16" fillId="0" borderId="6" xfId="1" applyFont="1" applyBorder="1" applyAlignment="1">
      <alignment horizontal="left"/>
    </xf>
    <xf numFmtId="0" fontId="5" fillId="0" borderId="0" xfId="0" applyFont="1" applyAlignment="1">
      <alignment horizontal="left"/>
    </xf>
    <xf numFmtId="43" fontId="16" fillId="0" borderId="0" xfId="1" applyFont="1" applyFill="1" applyBorder="1"/>
    <xf numFmtId="0" fontId="14" fillId="0" borderId="2" xfId="0" applyFont="1" applyBorder="1"/>
    <xf numFmtId="166" fontId="16" fillId="0" borderId="1" xfId="1" applyNumberFormat="1" applyFont="1" applyFill="1" applyBorder="1"/>
    <xf numFmtId="43" fontId="16" fillId="0" borderId="2" xfId="1" applyFont="1" applyBorder="1"/>
    <xf numFmtId="0" fontId="22" fillId="0" borderId="7" xfId="0" applyFont="1" applyBorder="1"/>
    <xf numFmtId="0" fontId="19" fillId="0" borderId="14" xfId="0" applyFont="1" applyBorder="1" applyAlignment="1">
      <alignment horizontal="center" wrapText="1"/>
    </xf>
    <xf numFmtId="0" fontId="19" fillId="0" borderId="5" xfId="0" applyFont="1" applyBorder="1" applyAlignment="1">
      <alignment horizontal="center" wrapText="1"/>
    </xf>
    <xf numFmtId="0" fontId="17" fillId="0" borderId="8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43" fontId="9" fillId="0" borderId="0" xfId="1" applyFont="1" applyFill="1" applyBorder="1"/>
    <xf numFmtId="166" fontId="9" fillId="0" borderId="1" xfId="1" applyNumberFormat="1" applyFont="1" applyFill="1" applyBorder="1" applyAlignment="1">
      <alignment horizontal="left"/>
    </xf>
    <xf numFmtId="43" fontId="9" fillId="0" borderId="2" xfId="1" applyFont="1" applyBorder="1"/>
    <xf numFmtId="0" fontId="23" fillId="0" borderId="7" xfId="0" applyFont="1" applyBorder="1"/>
    <xf numFmtId="0" fontId="12" fillId="0" borderId="14" xfId="0" applyFont="1" applyBorder="1" applyAlignment="1">
      <alignment horizontal="left" wrapText="1"/>
    </xf>
    <xf numFmtId="0" fontId="12" fillId="0" borderId="14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0" fillId="0" borderId="8" xfId="0" applyFont="1" applyBorder="1" applyAlignment="1">
      <alignment horizontal="left" wrapText="1"/>
    </xf>
    <xf numFmtId="0" fontId="16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2" fontId="18" fillId="0" borderId="0" xfId="0" applyNumberFormat="1" applyFont="1"/>
    <xf numFmtId="43" fontId="16" fillId="0" borderId="12" xfId="1" applyFont="1" applyBorder="1"/>
    <xf numFmtId="0" fontId="16" fillId="0" borderId="0" xfId="0" applyFont="1"/>
    <xf numFmtId="43" fontId="16" fillId="0" borderId="13" xfId="1" applyFont="1" applyBorder="1"/>
    <xf numFmtId="166" fontId="18" fillId="0" borderId="0" xfId="1" applyNumberFormat="1" applyFont="1" applyFill="1" applyBorder="1"/>
    <xf numFmtId="43" fontId="16" fillId="0" borderId="13" xfId="1" applyFont="1" applyFill="1" applyBorder="1"/>
    <xf numFmtId="43" fontId="16" fillId="0" borderId="14" xfId="1" applyFont="1" applyBorder="1"/>
    <xf numFmtId="168" fontId="16" fillId="0" borderId="0" xfId="0" applyNumberFormat="1" applyFont="1"/>
    <xf numFmtId="0" fontId="16" fillId="0" borderId="0" xfId="1" applyNumberFormat="1" applyFont="1" applyFill="1" applyBorder="1" applyAlignment="1">
      <alignment horizontal="left"/>
    </xf>
    <xf numFmtId="0" fontId="25" fillId="0" borderId="0" xfId="4" applyNumberFormat="1" applyFont="1"/>
    <xf numFmtId="167" fontId="16" fillId="0" borderId="13" xfId="1" applyNumberFormat="1" applyFont="1" applyBorder="1"/>
    <xf numFmtId="167" fontId="16" fillId="0" borderId="0" xfId="1" applyNumberFormat="1" applyFont="1" applyBorder="1"/>
    <xf numFmtId="9" fontId="18" fillId="0" borderId="0" xfId="2" applyFont="1" applyFill="1" applyBorder="1"/>
    <xf numFmtId="167" fontId="5" fillId="0" borderId="0" xfId="1" applyNumberFormat="1" applyFont="1" applyBorder="1"/>
    <xf numFmtId="166" fontId="16" fillId="0" borderId="0" xfId="1" applyNumberFormat="1" applyFont="1" applyFill="1" applyBorder="1"/>
    <xf numFmtId="167" fontId="16" fillId="0" borderId="3" xfId="1" applyNumberFormat="1" applyFont="1" applyFill="1" applyBorder="1"/>
    <xf numFmtId="9" fontId="5" fillId="0" borderId="0" xfId="2" applyFont="1" applyFill="1" applyBorder="1"/>
    <xf numFmtId="167" fontId="5" fillId="0" borderId="0" xfId="1" applyNumberFormat="1" applyFont="1" applyFill="1" applyBorder="1"/>
    <xf numFmtId="166" fontId="16" fillId="0" borderId="3" xfId="1" applyNumberFormat="1" applyFont="1" applyFill="1" applyBorder="1"/>
    <xf numFmtId="43" fontId="16" fillId="0" borderId="0" xfId="1" applyFont="1" applyBorder="1" applyAlignment="1">
      <alignment horizontal="left" indent="2"/>
    </xf>
    <xf numFmtId="167" fontId="16" fillId="0" borderId="3" xfId="1" applyNumberFormat="1" applyFont="1" applyBorder="1"/>
    <xf numFmtId="9" fontId="18" fillId="0" borderId="0" xfId="2" applyFont="1" applyBorder="1"/>
    <xf numFmtId="0" fontId="27" fillId="0" borderId="0" xfId="0" applyFont="1"/>
    <xf numFmtId="166" fontId="16" fillId="0" borderId="3" xfId="1" applyNumberFormat="1" applyFont="1" applyBorder="1"/>
    <xf numFmtId="43" fontId="16" fillId="0" borderId="0" xfId="1" applyFont="1" applyBorder="1" applyAlignment="1">
      <alignment horizontal="left" indent="1"/>
    </xf>
    <xf numFmtId="9" fontId="5" fillId="0" borderId="0" xfId="2" applyFont="1" applyBorder="1"/>
    <xf numFmtId="0" fontId="14" fillId="0" borderId="6" xfId="0" applyFont="1" applyBorder="1"/>
    <xf numFmtId="0" fontId="20" fillId="0" borderId="7" xfId="0" applyFont="1" applyBorder="1"/>
    <xf numFmtId="0" fontId="14" fillId="0" borderId="0" xfId="0" applyFont="1" applyAlignment="1">
      <alignment horizontal="right"/>
    </xf>
    <xf numFmtId="173" fontId="16" fillId="0" borderId="9" xfId="0" applyNumberFormat="1" applyFont="1" applyBorder="1" applyAlignment="1">
      <alignment horizontal="right" wrapText="1"/>
    </xf>
    <xf numFmtId="174" fontId="16" fillId="0" borderId="9" xfId="0" applyNumberFormat="1" applyFont="1" applyBorder="1" applyAlignment="1">
      <alignment horizontal="right" wrapText="1"/>
    </xf>
    <xf numFmtId="175" fontId="16" fillId="0" borderId="9" xfId="0" applyNumberFormat="1" applyFont="1" applyBorder="1" applyAlignment="1">
      <alignment horizontal="right" wrapText="1"/>
    </xf>
    <xf numFmtId="0" fontId="5" fillId="0" borderId="16" xfId="0" applyFont="1" applyBorder="1" applyAlignment="1">
      <alignment horizontal="center" wrapText="1"/>
    </xf>
    <xf numFmtId="171" fontId="16" fillId="0" borderId="11" xfId="1" applyNumberFormat="1" applyFont="1" applyFill="1" applyBorder="1" applyAlignment="1">
      <alignment horizontal="center" wrapText="1"/>
    </xf>
    <xf numFmtId="171" fontId="16" fillId="0" borderId="9" xfId="1" applyNumberFormat="1" applyFont="1" applyFill="1" applyBorder="1" applyAlignment="1">
      <alignment horizontal="center" wrapText="1"/>
    </xf>
    <xf numFmtId="0" fontId="5" fillId="0" borderId="21" xfId="0" applyFont="1" applyBorder="1" applyAlignment="1">
      <alignment horizontal="center" wrapText="1"/>
    </xf>
    <xf numFmtId="172" fontId="16" fillId="0" borderId="9" xfId="1" applyNumberFormat="1" applyFont="1" applyFill="1" applyBorder="1" applyAlignment="1">
      <alignment horizontal="center" wrapText="1"/>
    </xf>
    <xf numFmtId="0" fontId="21" fillId="0" borderId="3" xfId="0" applyFont="1" applyBorder="1" applyAlignment="1">
      <alignment horizontal="center"/>
    </xf>
    <xf numFmtId="0" fontId="21" fillId="0" borderId="0" xfId="0" applyFont="1" applyAlignment="1">
      <alignment horizontal="center"/>
    </xf>
    <xf numFmtId="43" fontId="16" fillId="0" borderId="2" xfId="1" applyFont="1" applyBorder="1" applyAlignment="1">
      <alignment horizontal="right"/>
    </xf>
    <xf numFmtId="43" fontId="16" fillId="0" borderId="0" xfId="1" applyFont="1" applyBorder="1" applyAlignment="1">
      <alignment horizontal="right"/>
    </xf>
    <xf numFmtId="43" fontId="16" fillId="0" borderId="0" xfId="1" applyFont="1" applyFill="1" applyBorder="1" applyAlignment="1">
      <alignment horizontal="right"/>
    </xf>
    <xf numFmtId="43" fontId="5" fillId="0" borderId="0" xfId="0" applyNumberFormat="1" applyFont="1" applyAlignment="1">
      <alignment horizontal="right"/>
    </xf>
    <xf numFmtId="43" fontId="16" fillId="0" borderId="1" xfId="1" applyFont="1" applyBorder="1" applyAlignment="1">
      <alignment horizontal="right"/>
    </xf>
    <xf numFmtId="43" fontId="16" fillId="0" borderId="5" xfId="1" applyFont="1" applyBorder="1" applyAlignment="1">
      <alignment horizontal="right"/>
    </xf>
    <xf numFmtId="43" fontId="16" fillId="0" borderId="6" xfId="1" applyFont="1" applyBorder="1" applyAlignment="1">
      <alignment horizontal="right"/>
    </xf>
    <xf numFmtId="43" fontId="16" fillId="2" borderId="6" xfId="1" applyFont="1" applyFill="1" applyBorder="1" applyAlignment="1">
      <alignment horizontal="right"/>
    </xf>
    <xf numFmtId="43" fontId="16" fillId="4" borderId="2" xfId="1" applyFont="1" applyFill="1" applyBorder="1" applyAlignment="1">
      <alignment horizontal="right"/>
    </xf>
    <xf numFmtId="43" fontId="16" fillId="4" borderId="1" xfId="1" applyFont="1" applyFill="1" applyBorder="1" applyAlignment="1">
      <alignment horizontal="right"/>
    </xf>
    <xf numFmtId="0" fontId="14" fillId="0" borderId="3" xfId="0" applyFont="1" applyBorder="1"/>
    <xf numFmtId="0" fontId="5" fillId="0" borderId="0" xfId="0" applyFont="1" applyAlignment="1">
      <alignment horizontal="center"/>
    </xf>
    <xf numFmtId="0" fontId="15" fillId="0" borderId="0" xfId="0" applyFont="1"/>
    <xf numFmtId="0" fontId="22" fillId="0" borderId="0" xfId="0" applyFont="1"/>
    <xf numFmtId="0" fontId="22" fillId="0" borderId="13" xfId="0" applyFont="1" applyBorder="1"/>
    <xf numFmtId="0" fontId="21" fillId="3" borderId="23" xfId="0" applyFont="1" applyFill="1" applyBorder="1"/>
    <xf numFmtId="0" fontId="21" fillId="3" borderId="24" xfId="0" applyFont="1" applyFill="1" applyBorder="1"/>
    <xf numFmtId="0" fontId="21" fillId="3" borderId="25" xfId="0" applyFont="1" applyFill="1" applyBorder="1"/>
    <xf numFmtId="0" fontId="21" fillId="3" borderId="26" xfId="0" applyFont="1" applyFill="1" applyBorder="1"/>
    <xf numFmtId="0" fontId="5" fillId="0" borderId="0" xfId="0" applyFont="1" applyAlignment="1">
      <alignment horizontal="left" vertical="center"/>
    </xf>
    <xf numFmtId="0" fontId="5" fillId="7" borderId="0" xfId="0" applyFont="1" applyFill="1"/>
    <xf numFmtId="3" fontId="5" fillId="7" borderId="0" xfId="0" applyNumberFormat="1" applyFont="1" applyFill="1"/>
    <xf numFmtId="0" fontId="18" fillId="7" borderId="0" xfId="0" applyFont="1" applyFill="1"/>
    <xf numFmtId="0" fontId="26" fillId="7" borderId="0" xfId="0" applyFont="1" applyFill="1"/>
    <xf numFmtId="0" fontId="5" fillId="0" borderId="8" xfId="0" applyFont="1" applyBorder="1"/>
    <xf numFmtId="0" fontId="17" fillId="0" borderId="0" xfId="0" applyFont="1"/>
    <xf numFmtId="0" fontId="18" fillId="0" borderId="0" xfId="0" applyFont="1" applyAlignment="1">
      <alignment wrapText="1"/>
    </xf>
    <xf numFmtId="166" fontId="5" fillId="0" borderId="0" xfId="1" applyNumberFormat="1" applyFont="1" applyFill="1" applyBorder="1"/>
    <xf numFmtId="43" fontId="5" fillId="0" borderId="0" xfId="1" applyFont="1" applyFill="1" applyBorder="1"/>
    <xf numFmtId="166" fontId="5" fillId="0" borderId="0" xfId="0" applyNumberFormat="1" applyFont="1"/>
    <xf numFmtId="166" fontId="28" fillId="0" borderId="0" xfId="1" applyNumberFormat="1" applyFont="1" applyFill="1" applyBorder="1"/>
    <xf numFmtId="0" fontId="29" fillId="0" borderId="0" xfId="0" applyFont="1"/>
    <xf numFmtId="0" fontId="26" fillId="0" borderId="0" xfId="0" applyFont="1"/>
    <xf numFmtId="0" fontId="17" fillId="0" borderId="0" xfId="0" applyFont="1" applyAlignment="1">
      <alignment horizontal="center"/>
    </xf>
    <xf numFmtId="2" fontId="5" fillId="0" borderId="0" xfId="0" applyNumberFormat="1" applyFont="1"/>
    <xf numFmtId="165" fontId="5" fillId="0" borderId="0" xfId="0" applyNumberFormat="1" applyFont="1"/>
    <xf numFmtId="1" fontId="5" fillId="0" borderId="0" xfId="0" applyNumberFormat="1" applyFont="1"/>
    <xf numFmtId="2" fontId="16" fillId="0" borderId="0" xfId="0" applyNumberFormat="1" applyFont="1"/>
    <xf numFmtId="165" fontId="16" fillId="0" borderId="0" xfId="0" applyNumberFormat="1" applyFont="1"/>
    <xf numFmtId="1" fontId="16" fillId="0" borderId="0" xfId="0" applyNumberFormat="1" applyFont="1"/>
    <xf numFmtId="0" fontId="20" fillId="3" borderId="24" xfId="0" applyFont="1" applyFill="1" applyBorder="1" applyAlignment="1">
      <alignment horizontal="center"/>
    </xf>
    <xf numFmtId="0" fontId="20" fillId="3" borderId="28" xfId="0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43" fontId="19" fillId="6" borderId="0" xfId="1" applyFont="1" applyFill="1" applyBorder="1" applyAlignment="1">
      <alignment horizontal="right"/>
    </xf>
    <xf numFmtId="0" fontId="5" fillId="5" borderId="24" xfId="0" applyFont="1" applyFill="1" applyBorder="1"/>
    <xf numFmtId="0" fontId="5" fillId="0" borderId="24" xfId="0" applyFont="1" applyBorder="1"/>
    <xf numFmtId="0" fontId="21" fillId="3" borderId="25" xfId="0" applyFont="1" applyFill="1" applyBorder="1" applyAlignment="1">
      <alignment horizontal="center"/>
    </xf>
    <xf numFmtId="0" fontId="21" fillId="3" borderId="30" xfId="0" applyFont="1" applyFill="1" applyBorder="1" applyAlignment="1">
      <alignment horizontal="center"/>
    </xf>
    <xf numFmtId="0" fontId="19" fillId="6" borderId="29" xfId="0" applyFont="1" applyFill="1" applyBorder="1"/>
    <xf numFmtId="43" fontId="19" fillId="6" borderId="29" xfId="1" applyFont="1" applyFill="1" applyBorder="1" applyAlignment="1">
      <alignment horizontal="right"/>
    </xf>
    <xf numFmtId="43" fontId="19" fillId="6" borderId="31" xfId="1" applyFont="1" applyFill="1" applyBorder="1" applyAlignment="1">
      <alignment horizontal="right"/>
    </xf>
    <xf numFmtId="0" fontId="5" fillId="8" borderId="24" xfId="0" applyFont="1" applyFill="1" applyBorder="1"/>
    <xf numFmtId="166" fontId="16" fillId="5" borderId="24" xfId="1" applyNumberFormat="1" applyFont="1" applyFill="1" applyBorder="1" applyAlignment="1">
      <alignment horizontal="right"/>
    </xf>
    <xf numFmtId="166" fontId="16" fillId="5" borderId="27" xfId="1" applyNumberFormat="1" applyFont="1" applyFill="1" applyBorder="1" applyAlignment="1">
      <alignment horizontal="right"/>
    </xf>
    <xf numFmtId="166" fontId="16" fillId="0" borderId="24" xfId="1" applyNumberFormat="1" applyFont="1" applyBorder="1" applyAlignment="1">
      <alignment horizontal="right"/>
    </xf>
    <xf numFmtId="166" fontId="16" fillId="0" borderId="27" xfId="1" applyNumberFormat="1" applyFont="1" applyBorder="1" applyAlignment="1">
      <alignment horizontal="right"/>
    </xf>
    <xf numFmtId="0" fontId="19" fillId="0" borderId="0" xfId="0" applyFont="1"/>
    <xf numFmtId="0" fontId="20" fillId="3" borderId="0" xfId="0" applyFont="1" applyFill="1"/>
    <xf numFmtId="0" fontId="30" fillId="0" borderId="0" xfId="0" applyFont="1" applyAlignment="1">
      <alignment wrapText="1"/>
    </xf>
    <xf numFmtId="0" fontId="16" fillId="0" borderId="0" xfId="0" applyFont="1" applyAlignment="1">
      <alignment wrapText="1"/>
    </xf>
    <xf numFmtId="164" fontId="16" fillId="0" borderId="0" xfId="0" applyNumberFormat="1" applyFont="1"/>
    <xf numFmtId="0" fontId="21" fillId="3" borderId="0" xfId="0" applyFont="1" applyFill="1"/>
    <xf numFmtId="0" fontId="36" fillId="0" borderId="0" xfId="0" applyFont="1"/>
    <xf numFmtId="2" fontId="30" fillId="0" borderId="0" xfId="0" applyNumberFormat="1" applyFont="1"/>
    <xf numFmtId="0" fontId="33" fillId="0" borderId="0" xfId="0" applyFont="1"/>
    <xf numFmtId="0" fontId="34" fillId="0" borderId="0" xfId="0" applyFont="1"/>
    <xf numFmtId="165" fontId="35" fillId="0" borderId="0" xfId="0" applyNumberFormat="1" applyFont="1"/>
    <xf numFmtId="0" fontId="18" fillId="0" borderId="0" xfId="0" applyFont="1" applyAlignment="1">
      <alignment horizontal="left"/>
    </xf>
    <xf numFmtId="0" fontId="20" fillId="3" borderId="32" xfId="0" applyFont="1" applyFill="1" applyBorder="1"/>
    <xf numFmtId="0" fontId="21" fillId="3" borderId="30" xfId="0" applyFont="1" applyFill="1" applyBorder="1"/>
    <xf numFmtId="2" fontId="16" fillId="0" borderId="0" xfId="0" applyNumberFormat="1" applyFont="1" applyAlignment="1">
      <alignment horizontal="right"/>
    </xf>
    <xf numFmtId="2" fontId="16" fillId="0" borderId="0" xfId="0" applyNumberFormat="1" applyFont="1" applyAlignment="1">
      <alignment vertical="center"/>
    </xf>
    <xf numFmtId="1" fontId="16" fillId="0" borderId="0" xfId="0" applyNumberFormat="1" applyFont="1" applyAlignment="1">
      <alignment vertical="center"/>
    </xf>
    <xf numFmtId="1" fontId="27" fillId="0" borderId="0" xfId="0" applyNumberFormat="1" applyFont="1"/>
    <xf numFmtId="164" fontId="5" fillId="0" borderId="0" xfId="0" applyNumberFormat="1" applyFont="1"/>
    <xf numFmtId="0" fontId="30" fillId="0" borderId="0" xfId="0" applyFont="1"/>
    <xf numFmtId="0" fontId="31" fillId="0" borderId="0" xfId="0" applyFont="1"/>
    <xf numFmtId="164" fontId="27" fillId="0" borderId="0" xfId="0" applyNumberFormat="1" applyFont="1"/>
    <xf numFmtId="0" fontId="22" fillId="0" borderId="0" xfId="0" applyFont="1" applyAlignment="1">
      <alignment horizontal="left"/>
    </xf>
    <xf numFmtId="164" fontId="16" fillId="0" borderId="0" xfId="0" applyNumberFormat="1" applyFont="1" applyAlignment="1">
      <alignment horizontal="left"/>
    </xf>
    <xf numFmtId="1" fontId="17" fillId="0" borderId="0" xfId="0" applyNumberFormat="1" applyFont="1"/>
    <xf numFmtId="164" fontId="17" fillId="0" borderId="0" xfId="0" applyNumberFormat="1" applyFont="1" applyAlignment="1">
      <alignment horizontal="left"/>
    </xf>
    <xf numFmtId="164" fontId="17" fillId="0" borderId="0" xfId="0" applyNumberFormat="1" applyFont="1"/>
    <xf numFmtId="0" fontId="16" fillId="0" borderId="0" xfId="0" applyFont="1" applyAlignment="1">
      <alignment horizontal="left" vertical="center"/>
    </xf>
    <xf numFmtId="166" fontId="16" fillId="2" borderId="14" xfId="1" applyNumberFormat="1" applyFont="1" applyFill="1" applyBorder="1" applyAlignment="1">
      <alignment horizontal="right"/>
    </xf>
    <xf numFmtId="166" fontId="16" fillId="4" borderId="12" xfId="1" applyNumberFormat="1" applyFont="1" applyFill="1" applyBorder="1" applyAlignment="1">
      <alignment horizontal="right"/>
    </xf>
    <xf numFmtId="166" fontId="16" fillId="0" borderId="0" xfId="1" applyNumberFormat="1" applyFont="1" applyFill="1" applyBorder="1" applyAlignment="1">
      <alignment horizontal="right"/>
    </xf>
    <xf numFmtId="167" fontId="16" fillId="0" borderId="4" xfId="1" applyNumberFormat="1" applyFont="1" applyFill="1" applyBorder="1" applyAlignment="1">
      <alignment horizontal="right"/>
    </xf>
    <xf numFmtId="3" fontId="5" fillId="2" borderId="0" xfId="0" applyNumberFormat="1" applyFont="1" applyFill="1" applyAlignment="1">
      <alignment horizontal="left"/>
    </xf>
    <xf numFmtId="3" fontId="5" fillId="0" borderId="0" xfId="0" applyNumberFormat="1" applyFont="1" applyAlignment="1">
      <alignment horizontal="right"/>
    </xf>
    <xf numFmtId="0" fontId="5" fillId="0" borderId="8" xfId="0" applyFont="1" applyBorder="1" applyAlignment="1">
      <alignment horizontal="right"/>
    </xf>
    <xf numFmtId="166" fontId="16" fillId="0" borderId="0" xfId="1" applyNumberFormat="1" applyFont="1"/>
    <xf numFmtId="43" fontId="16" fillId="0" borderId="0" xfId="1" applyFont="1"/>
    <xf numFmtId="166" fontId="5" fillId="0" borderId="0" xfId="1" applyNumberFormat="1" applyFont="1" applyFill="1"/>
    <xf numFmtId="167" fontId="5" fillId="0" borderId="0" xfId="1" applyNumberFormat="1" applyFont="1" applyFill="1"/>
    <xf numFmtId="1" fontId="16" fillId="0" borderId="0" xfId="0" applyNumberFormat="1" applyFont="1" applyAlignment="1">
      <alignment horizontal="left"/>
    </xf>
    <xf numFmtId="166" fontId="16" fillId="0" borderId="4" xfId="1" applyNumberFormat="1" applyFont="1" applyFill="1" applyBorder="1" applyAlignment="1">
      <alignment horizontal="right"/>
    </xf>
    <xf numFmtId="174" fontId="16" fillId="0" borderId="0" xfId="0" applyNumberFormat="1" applyFont="1" applyAlignment="1">
      <alignment horizontal="right" wrapText="1"/>
    </xf>
    <xf numFmtId="172" fontId="16" fillId="0" borderId="0" xfId="1" applyNumberFormat="1" applyFont="1" applyFill="1" applyBorder="1" applyAlignment="1">
      <alignment horizontal="center" wrapText="1"/>
    </xf>
    <xf numFmtId="0" fontId="4" fillId="0" borderId="0" xfId="0" applyFont="1" applyBorder="1"/>
    <xf numFmtId="166" fontId="9" fillId="0" borderId="0" xfId="1" applyNumberFormat="1" applyFont="1" applyFill="1" applyBorder="1" applyAlignment="1">
      <alignment horizontal="left"/>
    </xf>
    <xf numFmtId="166" fontId="9" fillId="0" borderId="0" xfId="1" applyNumberFormat="1" applyFont="1" applyBorder="1"/>
    <xf numFmtId="0" fontId="5" fillId="0" borderId="0" xfId="0" applyFont="1" applyBorder="1"/>
    <xf numFmtId="3" fontId="5" fillId="0" borderId="0" xfId="0" applyNumberFormat="1" applyFont="1" applyBorder="1"/>
    <xf numFmtId="0" fontId="5" fillId="0" borderId="0" xfId="0" applyFont="1" applyBorder="1" applyAlignment="1">
      <alignment horizontal="right"/>
    </xf>
    <xf numFmtId="0" fontId="5" fillId="2" borderId="0" xfId="0" applyFont="1" applyFill="1" applyBorder="1" applyAlignment="1">
      <alignment horizontal="right"/>
    </xf>
  </cellXfs>
  <cellStyles count="5">
    <cellStyle name="Comma" xfId="1" builtinId="3"/>
    <cellStyle name="Comma 2" xfId="3" xr:uid="{87C596B4-750D-41F5-B49D-49553026F219}"/>
    <cellStyle name="Hyperlink" xfId="4" builtinId="8"/>
    <cellStyle name="Normal" xfId="0" builtinId="0"/>
    <cellStyle name="Percent" xfId="2" builtinId="5"/>
  </cellStyles>
  <dxfs count="55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4" formatCode="0.0"/>
      <alignment horizontal="lef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theme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</dxf>
    <dxf>
      <border outline="0">
        <top style="thin">
          <color theme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2"/>
        <color theme="0"/>
        <name val="Aptos"/>
        <family val="2"/>
        <scheme val="none"/>
      </font>
      <fill>
        <patternFill patternType="solid">
          <fgColor theme="1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" formatCode="0"/>
    </dxf>
    <dxf>
      <border outline="0">
        <top style="thin">
          <color theme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2"/>
        <color theme="0"/>
        <name val="Aptos"/>
        <family val="2"/>
        <scheme val="none"/>
      </font>
      <fill>
        <patternFill patternType="solid">
          <fgColor theme="1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2"/>
        <color theme="0"/>
        <name val="Aptos"/>
        <family val="2"/>
        <scheme val="none"/>
      </font>
      <fill>
        <patternFill patternType="solid">
          <fgColor theme="1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</dxf>
    <dxf>
      <font>
        <strike val="0"/>
        <outline val="0"/>
        <shadow val="0"/>
        <vertAlign val="baseline"/>
        <sz val="12"/>
        <color theme="0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/>
        <vertAlign val="baseline"/>
        <sz val="12"/>
        <color theme="0"/>
        <name val="Aptos"/>
        <family val="2"/>
        <scheme val="none"/>
      </font>
      <fill>
        <patternFill patternType="solid">
          <fgColor theme="1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</dxf>
    <dxf>
      <border outline="0">
        <top style="thin">
          <color theme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2"/>
        <color theme="0"/>
        <name val="Aptos"/>
        <family val="2"/>
        <scheme val="none"/>
      </font>
      <fill>
        <patternFill patternType="solid">
          <fgColor theme="1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</dxf>
    <dxf>
      <border outline="0">
        <top style="thin">
          <color theme="1"/>
        </top>
      </border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2"/>
        <color theme="0"/>
        <name val="Aptos"/>
        <family val="2"/>
        <scheme val="none"/>
      </font>
      <fill>
        <patternFill patternType="solid">
          <fgColor theme="1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</dxf>
    <dxf>
      <border outline="0">
        <top style="thin">
          <color theme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2"/>
        <color theme="0"/>
        <name val="Aptos"/>
        <family val="2"/>
        <scheme val="none"/>
      </font>
      <fill>
        <patternFill patternType="solid">
          <fgColor theme="1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</dxf>
    <dxf>
      <border outline="0">
        <top style="thin">
          <color theme="1"/>
        </top>
      </border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2"/>
        <color theme="0"/>
        <name val="Aptos"/>
        <family val="2"/>
        <scheme val="none"/>
      </font>
      <fill>
        <patternFill patternType="solid">
          <fgColor theme="1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</dxf>
    <dxf>
      <font>
        <strike val="0"/>
        <outline val="0"/>
        <shadow val="0"/>
        <vertAlign val="baseline"/>
        <sz val="12"/>
        <color theme="0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/>
        <vertAlign val="baseline"/>
        <sz val="12"/>
        <color theme="0"/>
        <name val="Aptos"/>
        <family val="2"/>
        <scheme val="none"/>
      </font>
      <fill>
        <patternFill patternType="solid">
          <fgColor theme="1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auto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theme="0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auto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</dxf>
    <dxf>
      <border outline="0">
        <left style="thin">
          <color theme="1"/>
        </lef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2"/>
        <color theme="0"/>
        <name val="Aptos"/>
        <family val="2"/>
        <scheme val="none"/>
      </font>
      <fill>
        <patternFill patternType="solid">
          <fgColor theme="1"/>
          <bgColor theme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</dxf>
    <dxf>
      <border outline="0">
        <left style="thin">
          <color theme="1"/>
        </lef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2"/>
        <color theme="0"/>
        <name val="Aptos"/>
        <family val="2"/>
        <scheme val="none"/>
      </font>
      <fill>
        <patternFill patternType="solid">
          <fgColor theme="1"/>
          <bgColor theme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</dxf>
    <dxf>
      <border outline="0">
        <left style="thin">
          <color theme="1"/>
        </lef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2"/>
        <color theme="0"/>
        <name val="Aptos"/>
        <family val="2"/>
        <scheme val="none"/>
      </font>
      <fill>
        <patternFill patternType="solid">
          <fgColor theme="1"/>
          <bgColor theme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</dxf>
    <dxf>
      <border outline="0">
        <left style="thin">
          <color theme="1"/>
        </lef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2"/>
        <color theme="0"/>
        <name val="Aptos"/>
        <family val="2"/>
        <scheme val="none"/>
      </font>
      <fill>
        <patternFill patternType="solid">
          <fgColor theme="1"/>
          <bgColor theme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</dxf>
    <dxf>
      <border outline="0">
        <left style="thin">
          <color theme="1"/>
        </lef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2"/>
        <color theme="0"/>
        <name val="Aptos"/>
        <family val="2"/>
        <scheme val="none"/>
      </font>
      <fill>
        <patternFill patternType="solid">
          <fgColor theme="1"/>
          <bgColor theme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theme="0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"/>
        <family val="2"/>
        <scheme val="none"/>
      </font>
      <fill>
        <patternFill patternType="solid">
          <fgColor theme="1"/>
          <bgColor theme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167" formatCode="_(* #,##0.0_);_(* \(#,##0.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167" formatCode="_(* #,##0.0_);_(* \(#,##0.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167" formatCode="_(* #,##0.0_);_(* \(#,##0.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167" formatCode="_(* #,##0.0_);_(* \(#,##0.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167" formatCode="_(* #,##0.0_);_(* \(#,##0.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167" formatCode="_(* #,##0.0_);_(* \(#,##0.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"/>
        <family val="2"/>
        <scheme val="none"/>
      </font>
      <fill>
        <patternFill patternType="solid">
          <fgColor theme="1"/>
          <bgColor theme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"/>
        <family val="2"/>
        <scheme val="none"/>
      </font>
      <fill>
        <patternFill patternType="solid">
          <fgColor theme="1"/>
          <bgColor theme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"/>
        <family val="2"/>
        <scheme val="none"/>
      </font>
      <fill>
        <patternFill patternType="solid">
          <fgColor theme="1"/>
          <bgColor theme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"/>
        <family val="2"/>
        <scheme val="none"/>
      </font>
      <fill>
        <patternFill patternType="solid">
          <fgColor theme="1"/>
          <bgColor theme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167" formatCode="_(* #,##0.0_);_(* \(#,##0.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167" formatCode="_(* #,##0.0_);_(* \(#,##0.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165" formatCode="0.0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"/>
        <family val="2"/>
        <scheme val="none"/>
      </font>
      <fill>
        <patternFill patternType="solid">
          <fgColor theme="1"/>
          <bgColor theme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"/>
        <family val="2"/>
        <scheme val="none"/>
      </font>
      <fill>
        <patternFill patternType="solid">
          <fgColor theme="1"/>
          <bgColor theme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167" formatCode="_(* #,##0.0_);_(* \(#,##0.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"/>
        <family val="2"/>
        <scheme val="none"/>
      </font>
      <fill>
        <patternFill patternType="solid">
          <fgColor theme="1"/>
          <bgColor theme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167" formatCode="_(* #,##0.0_);_(* \(#,##0.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167" formatCode="_(* #,##0.0_);_(* \(#,##0.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167" formatCode="_(* #,##0.0_);_(* \(#,##0.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167" formatCode="_(* #,##0.0_);_(* \(#,##0.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167" formatCode="_(* #,##0.0_);_(* \(#,##0.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167" formatCode="_(* #,##0.0_);_(* \(#,##0.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"/>
        <family val="2"/>
        <scheme val="none"/>
      </font>
      <fill>
        <patternFill patternType="solid">
          <fgColor theme="1"/>
          <bgColor theme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167" formatCode="_(* #,##0.0_);_(* \(#,##0.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167" formatCode="_(* #,##0.0_);_(* \(#,##0.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167" formatCode="_(* #,##0.0_);_(* \(#,##0.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167" formatCode="_(* #,##0.0_);_(* \(#,##0.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167" formatCode="_(* #,##0.0_);_(* \(#,##0.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167" formatCode="_(* #,##0.0_);_(* \(#,##0.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"/>
        <family val="2"/>
        <scheme val="none"/>
      </font>
      <fill>
        <patternFill patternType="solid">
          <fgColor theme="1"/>
          <bgColor theme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167" formatCode="_(* #,##0.0_);_(* \(#,##0.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167" formatCode="_(* #,##0.0_);_(* \(#,##0.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167" formatCode="_(* #,##0.0_);_(* \(#,##0.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167" formatCode="_(* #,##0.0_);_(* \(#,##0.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167" formatCode="_(* #,##0.0_);_(* \(#,##0.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167" formatCode="_(* #,##0.0_);_(* \(#,##0.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7" formatCode="_(* #,##0.0_);_(* \(#,##0.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7" formatCode="_(* #,##0.0_);_(* \(#,##0.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7" formatCode="_(* #,##0.0_);_(* \(#,##0.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7" formatCode="_(* #,##0.0_);_(* \(#,##0.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7" formatCode="_(* #,##0.0_);_(* \(#,##0.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7" formatCode="_(* #,##0.0_);_(* \(#,##0.0\);_(* &quot;-&quot;??_);_(@_)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</dxf>
    <dxf>
      <border outline="0">
        <left style="thin">
          <color indexed="64"/>
        </left>
        <right style="thin">
          <color indexed="64"/>
        </right>
        <top style="thin">
          <color theme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2"/>
        <color theme="0"/>
        <name val="Aptos"/>
        <family val="2"/>
        <scheme val="none"/>
      </font>
      <fill>
        <patternFill patternType="solid">
          <fgColor theme="1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6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</dxf>
    <dxf>
      <border outline="0">
        <left style="thin">
          <color indexed="64"/>
        </left>
        <right style="thin">
          <color indexed="64"/>
        </right>
        <top style="thin">
          <color theme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2"/>
        <color theme="0"/>
        <name val="Aptos"/>
        <family val="2"/>
        <scheme val="none"/>
      </font>
      <fill>
        <patternFill patternType="solid">
          <fgColor theme="1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6" formatCode="_(* #,##0_);_(* \(#,##0\);_(* &quot;-&quot;??_);_(@_)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6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</dxf>
    <dxf>
      <border outline="0">
        <left style="thin">
          <color indexed="64"/>
        </left>
        <right style="thin">
          <color indexed="64"/>
        </right>
      </border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2"/>
        <color theme="0"/>
        <name val="Aptos"/>
        <family val="2"/>
        <scheme val="none"/>
      </font>
      <fill>
        <patternFill patternType="solid">
          <fgColor theme="1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7" formatCode="_(* #,##0.0_);_(* \(#,##0.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7" formatCode="_(* #,##0.0_);_(* \(#,##0.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7" formatCode="_(* #,##0.0_);_(* \(#,##0.0\);_(* &quot;-&quot;??_);_(@_)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7" formatCode="_(* #,##0.0_);_(* \(#,##0.0\);_(* &quot;-&quot;??_);_(@_)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</dxf>
    <dxf>
      <border outline="0">
        <left style="thin">
          <color indexed="64"/>
        </left>
        <right style="thin">
          <color indexed="64"/>
        </right>
        <top style="thin">
          <color theme="1"/>
        </top>
        <bottom style="thin">
          <color theme="1"/>
        </bottom>
      </border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2"/>
        <color theme="0"/>
        <name val="Aptos"/>
        <family val="2"/>
        <scheme val="none"/>
      </font>
      <fill>
        <patternFill patternType="solid">
          <fgColor theme="1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7" formatCode="_(* #,##0.0_);_(* \(#,##0.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7" formatCode="_(* #,##0.0_);_(* \(#,##0.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7" formatCode="_(* #,##0.0_);_(* \(#,##0.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7" formatCode="_(* #,##0.0_);_(* \(#,##0.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7" formatCode="_(* #,##0.0_);_(* \(#,##0.0\);_(* &quot;-&quot;??_);_(@_)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7" formatCode="_(* #,##0.0_);_(* \(#,##0.0\);_(* &quot;-&quot;??_);_(@_)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</dxf>
    <dxf>
      <border outline="0">
        <left style="thin">
          <color indexed="64"/>
        </left>
        <right style="thin">
          <color indexed="64"/>
        </right>
        <top style="thin">
          <color theme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2"/>
        <color theme="0"/>
        <name val="Aptos"/>
        <family val="2"/>
        <scheme val="none"/>
      </font>
      <fill>
        <patternFill patternType="solid">
          <fgColor theme="1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7" formatCode="_(* #,##0.0_);_(* \(#,##0.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7" formatCode="_(* #,##0.0_);_(* \(#,##0.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7" formatCode="_(* #,##0.0_);_(* \(#,##0.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7" formatCode="_(* #,##0.0_);_(* \(#,##0.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7" formatCode="_(* #,##0.0_);_(* \(#,##0.0\);_(* &quot;-&quot;??_);_(@_)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6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</dxf>
    <dxf>
      <border outline="0">
        <left style="thin">
          <color indexed="64"/>
        </left>
        <right style="thin">
          <color indexed="64"/>
        </right>
        <top style="thin">
          <color theme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2"/>
        <color theme="0"/>
        <name val="Aptos"/>
        <family val="2"/>
        <scheme val="none"/>
      </font>
      <fill>
        <patternFill patternType="solid">
          <fgColor theme="1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7" formatCode="_(* #,##0.0_);_(* \(#,##0.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7" formatCode="_(* #,##0.0_);_(* \(#,##0.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7" formatCode="_(* #,##0.0_);_(* \(#,##0.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7" formatCode="_(* #,##0.0_);_(* \(#,##0.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7" formatCode="_(* #,##0.0_);_(* \(#,##0.0\);_(* &quot;-&quot;??_);_(@_)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7" formatCode="_(* #,##0.0_);_(* \(#,##0.0\);_(* &quot;-&quot;??_);_(@_)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</dxf>
    <dxf>
      <border outline="0">
        <left style="thin">
          <color indexed="64"/>
        </left>
        <right style="thin">
          <color indexed="64"/>
        </right>
        <top style="thin">
          <color theme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2"/>
        <color theme="0"/>
        <name val="Aptos"/>
        <family val="2"/>
        <scheme val="none"/>
      </font>
      <fill>
        <patternFill patternType="solid">
          <fgColor theme="1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7" formatCode="_(* #,##0.0_);_(* \(#,##0.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7" formatCode="_(* #,##0.0_);_(* \(#,##0.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7" formatCode="_(* #,##0.0_);_(* \(#,##0.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7" formatCode="_(* #,##0.0_);_(* \(#,##0.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7" formatCode="_(* #,##0.0_);_(* \(#,##0.0\);_(* &quot;-&quot;??_);_(@_)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6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</dxf>
    <dxf>
      <border outline="0">
        <left style="thin">
          <color indexed="64"/>
        </left>
        <right style="thin">
          <color indexed="64"/>
        </right>
        <top style="thin">
          <color theme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2"/>
        <color theme="0"/>
        <name val="Aptos"/>
        <family val="2"/>
        <scheme val="none"/>
      </font>
      <fill>
        <patternFill patternType="solid">
          <fgColor theme="1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7" formatCode="_(* #,##0.0_);_(* \(#,##0.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7" formatCode="_(* #,##0.0_);_(* \(#,##0.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7" formatCode="_(* #,##0.0_);_(* \(#,##0.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7" formatCode="_(* #,##0.0_);_(* \(#,##0.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7" formatCode="_(* #,##0.0_);_(* \(#,##0.0\);_(* &quot;-&quot;??_);_(@_)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7" formatCode="_(* #,##0.0_);_(* \(#,##0.0\);_(* &quot;-&quot;??_);_(@_)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</dxf>
    <dxf>
      <border outline="0">
        <left style="thin">
          <color indexed="64"/>
        </left>
        <right style="thin">
          <color indexed="64"/>
        </right>
        <top style="thin">
          <color theme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2"/>
        <color theme="0"/>
        <name val="Aptos"/>
        <family val="2"/>
        <scheme val="none"/>
      </font>
      <fill>
        <patternFill patternType="solid">
          <fgColor theme="1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6" formatCode="_(* #,##0_);_(* \(#,##0\);_(* &quot;-&quot;??_);_(@_)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6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</dxf>
    <dxf>
      <border outline="0">
        <left style="thin">
          <color indexed="64"/>
        </left>
        <right style="thin">
          <color indexed="64"/>
        </right>
        <top style="thin">
          <color theme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2"/>
        <color theme="0"/>
        <name val="Aptos"/>
        <family val="2"/>
        <scheme val="none"/>
      </font>
      <fill>
        <patternFill patternType="solid">
          <fgColor theme="1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6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</dxf>
    <dxf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/>
        <vertAlign val="baseline"/>
        <sz val="12"/>
        <color theme="0"/>
        <name val="Aptos"/>
        <family val="2"/>
        <scheme val="none"/>
      </font>
      <fill>
        <patternFill patternType="solid">
          <fgColor theme="1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7" formatCode="_(* #,##0.0_);_(* \(#,##0.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7" formatCode="_(* #,##0.0_);_(* \(#,##0.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7" formatCode="_(* #,##0.0_);_(* \(#,##0.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7" formatCode="_(* #,##0.0_);_(* \(#,##0.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7" formatCode="_(* #,##0.0_);_(* \(#,##0.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7" formatCode="_(* #,##0.0_);_(* \(#,##0.0\);_(* &quot;-&quot;??_);_(@_)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</dxf>
    <dxf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theme="0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72" formatCode="_(* #,##0.0000000000000000_);_(* \(#,##0.0000000000000000\);_(* &quot;-&quot;??_);_(@_)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left" vertical="bottom" textRotation="0" wrapText="0" indent="0" justifyLastLine="0" shrinkToFit="0" readingOrder="0"/>
    </dxf>
    <dxf>
      <border outline="0">
        <right style="medium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71" formatCode="_(* #,##0.00000000000000_);_(* \(#,##0.00000000000000\);_(* &quot;-&quot;??_);_(@_)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left" vertical="bottom" textRotation="0" wrapText="0" indent="0" justifyLastLine="0" shrinkToFit="0" readingOrder="0"/>
    </dxf>
    <dxf>
      <border outline="0">
        <right style="medium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74" formatCode="0.00000000000000000"/>
      <alignment horizontal="right" vertical="bottom" textRotation="0" wrapText="1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right" vertical="bottom" textRotation="0" wrapText="0" indent="0" justifyLastLine="0" shrinkToFit="0" readingOrder="0"/>
    </dxf>
    <dxf>
      <border outline="0">
        <right style="medium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73" formatCode="0.0000000000000000"/>
      <alignment horizontal="right" vertical="bottom" textRotation="0" wrapText="1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right" vertical="bottom" textRotation="0" wrapText="0" indent="0" justifyLastLine="0" shrinkToFit="0" readingOrder="0"/>
    </dxf>
    <dxf>
      <border outline="0">
        <right style="medium">
          <color indexed="64"/>
        </right>
      </border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alignment horizontal="right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alignment horizontal="right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alignment horizontal="right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2"/>
        <color theme="0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  <numFmt numFmtId="166" formatCode="_(* #,##0_);_(* \(#,##0\);_(* &quot;-&quot;??_);_(@_)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vertAlign val="baseline"/>
        <sz val="11"/>
        <color theme="0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6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"/>
        <family val="2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6" formatCode="_(* #,##0_);_(* \(#,##0\);_(* &quot;-&quot;??_);_(@_)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7" formatCode="_(* #,##0.0_);_(* \(#,##0.0\);_(* &quot;-&quot;??_);_(@_)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vertAlign val="baseline"/>
        <sz val="12"/>
        <color theme="0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6" formatCode="_(* #,##0_);_(* \(#,##0\);_(* &quot;-&quot;??_);_(@_)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vertAlign val="baseline"/>
        <sz val="12"/>
        <color theme="0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6" formatCode="_(* #,##0_);_(* \(#,##0\);_(* &quot;-&quot;??_);_(@_)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7" formatCode="_(* #,##0.0_);_(* \(#,##0.0\);_(* &quot;-&quot;??_);_(@_)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vertAlign val="baseline"/>
        <sz val="12"/>
        <color theme="0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6" formatCode="_(* #,##0_);_(* \(#,##0\);_(* &quot;-&quot;??_);_(@_)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vertAlign val="baseline"/>
        <sz val="12"/>
        <color theme="0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6" formatCode="_(* #,##0_);_(* \(#,##0\);_(* &quot;-&quot;??_);_(@_)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7" formatCode="_(* #,##0.0_);_(* \(#,##0.0\);_(* &quot;-&quot;??_);_(@_)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vertAlign val="baseline"/>
        <sz val="12"/>
        <color theme="0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6" formatCode="_(* #,##0_);_(* \(#,##0\);_(* &quot;-&quot;??_);_(@_)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vertAlign val="baseline"/>
        <sz val="12"/>
        <color theme="0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6" formatCode="_(* #,##0_);_(* \(#,##0\);_(* &quot;-&quot;??_);_(@_)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7" formatCode="_(* #,##0.0_);_(* \(#,##0.0\);_(* &quot;-&quot;??_);_(@_)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vertAlign val="baseline"/>
        <sz val="12"/>
        <color theme="0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6" formatCode="_(* #,##0_);_(* \(#,##0\);_(* &quot;-&quot;??_);_(@_)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vertAlign val="baseline"/>
        <sz val="12"/>
        <color theme="0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6" formatCode="_(* #,##0_);_(* \(#,##0\);_(* &quot;-&quot;??_);_(@_)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7" formatCode="_(* #,##0.0_);_(* \(#,##0.0\);_(* &quot;-&quot;??_);_(@_)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vertAlign val="baseline"/>
        <sz val="12"/>
        <color theme="0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6" formatCode="_(* #,##0_);_(* \(#,##0\);_(* &quot;-&quot;??_);_(@_)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vertAlign val="baseline"/>
        <sz val="12"/>
        <color theme="0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6" formatCode="_(* #,##0_);_(* \(#,##0\);_(* &quot;-&quot;??_);_(@_)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vertAlign val="baseline"/>
        <sz val="12"/>
        <color theme="0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6" formatCode="_(* #,##0_);_(* \(#,##0\);_(* &quot;-&quot;??_);_(@_)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7" formatCode="_(* #,##0.0_);_(* \(#,##0.0\);_(* &quot;-&quot;??_);_(@_)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vertAlign val="baseline"/>
        <sz val="12"/>
        <color theme="0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69" formatCode="0.000000"/>
      <alignment horizontal="right" vertical="bottom" textRotation="0" wrapText="1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170" formatCode="_(* #,##0.000000_);_(* \(#,##0.000000\);_(* &quot;-&quot;??_);_(@_)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right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</dxf>
    <dxf>
      <border outline="0">
        <bottom style="medium">
          <color indexed="64"/>
        </bottom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8CBC6A8-D927-4A22-AF4C-5601E4118305}" name="EFsMemoTable3" displayName="EFsMemoTable3" ref="A17:C28" totalsRowShown="0" headerRowDxfId="555" dataDxfId="553" headerRowBorderDxfId="554" tableBorderDxfId="552">
  <autoFilter ref="A17:C28" xr:uid="{68CBC6A8-D927-4A22-AF4C-5601E4118305}"/>
  <tableColumns count="3">
    <tableColumn id="1" xr3:uid="{D8ED0663-F8F1-465C-891A-7F63D768AADF}" name="Pipelines and services by material type" dataDxfId="551"/>
    <tableColumn id="2" xr3:uid="{AE320F8D-C17B-49DA-99E5-B864CB8DFEB7}" name="EFs from 310 CMR 7.73 Table 9" dataDxfId="550" dataCellStyle="Comma"/>
    <tableColumn id="3" xr3:uid="{D9358EC8-5B2D-4AA3-BC24-62F05A938990}" name="EFs converted to mt CH4 using the IPCC AR4 CH4 GWP" dataDxfId="549">
      <calculatedColumnFormula>ROUND(B18/$B$30, 6)</calculatedColumnFormula>
    </tableColumn>
  </tableColumns>
  <tableStyleInfo name="TableStyleMedium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21F3AE3A-77DF-474D-BA2A-2E05CE88DB73}" name="EGMAServMemoTable3" displayName="EGMAServMemoTable3" ref="A71:D83" totalsRowShown="0" headerRowDxfId="484" dataDxfId="482" headerRowBorderDxfId="483" tableBorderDxfId="481">
  <autoFilter ref="A71:D83" xr:uid="{21F3AE3A-77DF-474D-BA2A-2E05CE88DB73}"/>
  <tableColumns count="4">
    <tableColumn id="1" xr3:uid="{EB2243B8-18C7-4FF6-B13C-7D2593EF3443}" name="Services" dataDxfId="480"/>
    <tableColumn id="2" xr3:uid="{9B55025C-898D-469F-B16A-7F62A45E4491}" name="2024 reported services" dataDxfId="479" dataCellStyle="Comma"/>
    <tableColumn id="3" xr3:uid="{B1ED2B85-0D24-4E85-8861-C86E39CFD9C5}" name="2024 reported emissions in mt CO2e" dataDxfId="478" dataCellStyle="Comma"/>
    <tableColumn id="4" xr3:uid="{9A3B02DB-0D0F-41B7-92F6-35E19A3BFDEA}" name="2024 reported emissions converted to mt CH4" dataDxfId="477" dataCellStyle="Comma"/>
  </tableColumns>
  <tableStyleInfo name="TableStyleMedium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7ACA0F62-BBCC-4B58-84E2-73174FEC092C}" name="EGMAMilesMemoTable3" displayName="EGMAMilesMemoTable3" ref="A60:D70" totalsRowShown="0" headerRowDxfId="476" dataDxfId="474" headerRowBorderDxfId="475" tableBorderDxfId="473">
  <autoFilter ref="A60:D70" xr:uid="{7ACA0F62-BBCC-4B58-84E2-73174FEC092C}"/>
  <tableColumns count="4">
    <tableColumn id="1" xr3:uid="{10812688-CCEC-4109-8350-1458D1664079}" name="Miles" dataDxfId="472"/>
    <tableColumn id="2" xr3:uid="{AA5D2CC0-9B8B-4A18-BC6C-6BF6AF761277}" name="2024 reported miles" dataDxfId="471" dataCellStyle="Comma"/>
    <tableColumn id="3" xr3:uid="{F001584D-F9A8-4009-BF47-7D8C615C1BB9}" name="2024 reported emissions in mt CO2e" dataDxfId="470" dataCellStyle="Comma"/>
    <tableColumn id="4" xr3:uid="{9004EB50-FB8A-4DE0-B993-241E37CA78F9}" name="2024 reported emissions converted to mt CH4" dataDxfId="469" dataCellStyle="Comma"/>
  </tableColumns>
  <tableStyleInfo name="TableStyleMedium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AF338C-76A3-4212-A16B-2D744CC2F6FB}" name="NGridServMemoTable3" displayName="NGridServMemoTable3" ref="A45:D57" totalsRowShown="0" headerRowDxfId="468" dataDxfId="466" headerRowBorderDxfId="467" tableBorderDxfId="465">
  <autoFilter ref="A45:D57" xr:uid="{00AF338C-76A3-4212-A16B-2D744CC2F6FB}"/>
  <tableColumns count="4">
    <tableColumn id="1" xr3:uid="{3884EE65-7C96-464E-B575-1735B81D5005}" name="Services" dataDxfId="464"/>
    <tableColumn id="2" xr3:uid="{73BB313E-40E6-49A5-AC12-08037BB4ABF7}" name="2024 reported services" dataDxfId="463" dataCellStyle="Comma"/>
    <tableColumn id="3" xr3:uid="{35420BD1-C610-4F52-93AD-7650FBD83562}" name="2024 reported emissions in mt CO2e" dataDxfId="462" dataCellStyle="Comma"/>
    <tableColumn id="4" xr3:uid="{853F42DC-0782-4983-8391-60AF30D86154}" name="2024 reported emissions converted to mt CH4" dataDxfId="461" dataCellStyle="Comma"/>
  </tableColumns>
  <tableStyleInfo name="TableStyleMedium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2FF75CC9-957E-478E-B488-441A757196F7}" name="NGridMilesMemoTable3" displayName="NGridMilesMemoTable3" ref="A34:D44" totalsRowShown="0" headerRowDxfId="460" dataDxfId="458" headerRowBorderDxfId="459" tableBorderDxfId="457">
  <autoFilter ref="A34:D44" xr:uid="{2FF75CC9-957E-478E-B488-441A757196F7}"/>
  <tableColumns count="4">
    <tableColumn id="1" xr3:uid="{94905228-185B-4948-A51C-80DC08D769CB}" name="Miles" dataDxfId="456"/>
    <tableColumn id="2" xr3:uid="{59DDE689-3B14-4F6C-91CA-2F1C54A109B8}" name="2024 reported miles" dataDxfId="455" dataCellStyle="Comma"/>
    <tableColumn id="3" xr3:uid="{4DF60F9D-E9B8-42AE-9D44-512C56AC8F13}" name="2024 reported emissions in mt CO2e" dataDxfId="454" dataCellStyle="Comma"/>
    <tableColumn id="4" xr3:uid="{76AF38E3-AAD5-48E7-AF33-93B94918BA8F}" name="2024 reported emissions converted to mt CH4" dataDxfId="453" dataCellStyle="Comma"/>
  </tableColumns>
  <tableStyleInfo name="TableStyleMedium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12152BD4-32DE-4108-A5A2-3A74AABB3A34}" name="MemoTable3" displayName="MemoTable3" ref="A6:D14" totalsRowShown="0" headerRowDxfId="452" headerRowBorderDxfId="451" tableBorderDxfId="450">
  <autoFilter ref="A6:D14" xr:uid="{12152BD4-32DE-4108-A5A2-3A74AABB3A34}"/>
  <tableColumns count="4">
    <tableColumn id="1" xr3:uid="{299AA619-5846-4351-86B1-1BC2DAE21A1E}" name="Regulated Entities (Tables 1-7)" dataDxfId="449"/>
    <tableColumn id="2" xr3:uid="{E6B720FE-2BFD-4678-864B-C1799ECFBA50}" name="2024 emissions limits in Tables 1-7 of the 310 CMR 7.73 regulation (in mt CO2e)" dataDxfId="448" dataCellStyle="Comma"/>
    <tableColumn id="3" xr3:uid="{7ECE0556-5AFE-484A-916E-13062C0C9EEE}" name="2024 reported emissions as shown in Stakeholder Memo Table 3 (in mt CO2e)" dataDxfId="447" dataCellStyle="Comma"/>
    <tableColumn id="4" xr3:uid="{81909F4B-D0EC-43E2-B852-1F321D4C27CC}" name="2024 reported emissions as shown in Stakeholder Memo Table 3 (in mt CH4)" dataDxfId="446" dataCellStyle="Comma"/>
  </tableColumns>
  <tableStyleInfo name="TableStyleMedium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1D26969F-EBB9-4BAB-A024-E3CE9AB78D25}" name="MemoTable4" displayName="MemoTable4" ref="A4:D12" totalsRowShown="0" headerRowDxfId="445" headerRowBorderDxfId="444" tableBorderDxfId="443">
  <autoFilter ref="A4:D12" xr:uid="{1D26969F-EBB9-4BAB-A024-E3CE9AB78D25}"/>
  <tableColumns count="4">
    <tableColumn id="1" xr3:uid="{390DFB51-51E4-4AFD-B8D1-5CEBE193A12B}" name="Regulated Entities (Tables 1-7)" dataDxfId="442"/>
    <tableColumn id="2" xr3:uid="{B3C06C15-234A-4EA6-ABF7-64EFC9DF5AA4}" name="NO DATA" dataDxfId="441" dataCellStyle="Comma"/>
    <tableColumn id="3" xr3:uid="{6200A21F-EED0-4332-BB27-D5B7C73254A6}" name="2024 reported emissions as shown in Stakeholder Memo Table 4 (in mt CO2e)" dataDxfId="440" dataCellStyle="Comma"/>
    <tableColumn id="4" xr3:uid="{BD5AD982-A671-450F-8E26-2C15746755CB}" name="2024 reported emissions as shown in Stakeholder Memo Table 4 (in mt CH4)" dataDxfId="439" dataCellStyle="Comma"/>
  </tableColumns>
  <tableStyleInfo name="TableStyleMedium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1355E5E6-8BFF-4BC3-B1DD-73AF35724FB5}" name="MemoTable5" displayName="MemoTable5" ref="A7:G17" totalsRowShown="0" headerRowDxfId="438" tableBorderDxfId="437">
  <autoFilter ref="A7:G17" xr:uid="{1355E5E6-8BFF-4BC3-B1DD-73AF35724FB5}"/>
  <tableColumns count="7">
    <tableColumn id="1" xr3:uid="{61417E37-EC50-42E7-BCE7-9A9BEC216505}" name="Regulated Entities (Tables 1-8)"/>
    <tableColumn id="2" xr3:uid="{218D7CC4-C3E9-4A82-A4F4-3C774760D62D}" name="2024 (as shown in Stakeholder Memo Table 4)"/>
    <tableColumn id="3" xr3:uid="{1365DDED-3A77-48E4-8FA4-01564ABD6050}" name="2025" dataDxfId="436"/>
    <tableColumn id="4" xr3:uid="{38D58E1A-EFD7-4FEB-84A8-F0665FED7DDD}" name="2026" dataDxfId="435" dataCellStyle="Comma"/>
    <tableColumn id="5" xr3:uid="{4B2BBF23-DE32-4593-9C0B-557466793B9D}" name="2027" dataDxfId="434" dataCellStyle="Comma"/>
    <tableColumn id="6" xr3:uid="{6D5FB2AA-6C4A-4C0C-B839-6D2FE55FD81A}" name="2028" dataDxfId="433"/>
    <tableColumn id="7" xr3:uid="{CC1114FC-02E8-4565-B07A-908D4B134C5F}" name="2029" dataDxfId="432"/>
  </tableColumns>
  <tableStyleInfo name="TableStyleMedium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75DF8105-65CF-461C-9C71-CC4BCF28DD7E}" name="UpdatedMainEFsforTable9" displayName="UpdatedMainEFsforTable9" ref="I7:J11" totalsRowShown="0" tableBorderDxfId="431">
  <autoFilter ref="I7:J11" xr:uid="{75DF8105-65CF-461C-9C71-CC4BCF28DD7E}"/>
  <tableColumns count="2">
    <tableColumn id="1" xr3:uid="{BBF30773-C425-455C-A5B3-26CF15D86C32}" name="mains/pipelines" dataDxfId="430"/>
    <tableColumn id="2" xr3:uid="{5B4475A9-F0E3-4B7C-9E82-3113D779411E}" name="mt CH4/mile" dataDxfId="429">
      <calculatedColumnFormula>ROUND(M8*$J$19,16)</calculatedColumnFormula>
    </tableColumn>
  </tableColumns>
  <tableStyleInfo name="TableStyleMedium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72A04439-49F7-4C82-B467-887BF75F9282}" name="UpdatedServEFsforTable9" displayName="UpdatedServEFsforTable9" ref="I12:J17" totalsRowShown="0" tableBorderDxfId="428">
  <autoFilter ref="I12:J17" xr:uid="{72A04439-49F7-4C82-B467-887BF75F9282}"/>
  <tableColumns count="2">
    <tableColumn id="1" xr3:uid="{5638D816-C004-40EE-81E1-2DCB33D93CA9}" name="services" dataDxfId="427"/>
    <tableColumn id="2" xr3:uid="{4FD8D419-BA34-40B0-9828-8F661DDC6E61}" name="mt CH4/service" dataDxfId="426">
      <calculatedColumnFormula>ROUND(M13*$J$19,18)</calculatedColumnFormula>
    </tableColumn>
  </tableColumns>
  <tableStyleInfo name="TableStyleMedium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C0FE1CB3-7FEC-4AE7-B5C6-F4F9E4B64745}" name="EPAAnnexMainEFs" displayName="EPAAnnexMainEFs" ref="L7:M11" totalsRowShown="0" tableBorderDxfId="425">
  <autoFilter ref="L7:M11" xr:uid="{C0FE1CB3-7FEC-4AE7-B5C6-F4F9E4B64745}"/>
  <tableColumns count="2">
    <tableColumn id="1" xr3:uid="{DF43DAFF-2188-4876-839E-CA459052C850}" name="mains/pipelines" dataDxfId="424"/>
    <tableColumn id="2" xr3:uid="{F17460FF-8C2C-4532-A394-DDF8AE7DA832}" name="kg CH4/mile" dataDxfId="423" dataCellStyle="Comma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98B35AC-4DA7-4B9D-BBA1-398F47E6760F}" name="NSTARMilesMemoTable3" displayName="NSTARMilesMemoTable3" ref="A164:D174" totalsRowShown="0" headerRowDxfId="548" dataDxfId="546" headerRowBorderDxfId="547" tableBorderDxfId="545">
  <autoFilter ref="A164:D174" xr:uid="{B98B35AC-4DA7-4B9D-BBA1-398F47E6760F}"/>
  <tableColumns count="4">
    <tableColumn id="1" xr3:uid="{8539DC3C-30D8-4FA2-ADD2-D7A322BDB543}" name="Miles" dataDxfId="544"/>
    <tableColumn id="2" xr3:uid="{14510334-5576-4CCD-8C70-71DD53D352FF}" name="2024 reported miles" dataDxfId="543" dataCellStyle="Comma"/>
    <tableColumn id="3" xr3:uid="{B465A292-F730-47B9-A4F2-1E51E3D4A69D}" name="2024 reported emissions in mt CO2e" dataDxfId="542" dataCellStyle="Comma"/>
    <tableColumn id="4" xr3:uid="{AE499DB3-CF9E-4C32-83B6-B7AE6E66145E}" name="2024 reported emissions converted to mt CH4" dataDxfId="541" dataCellStyle="Comma"/>
  </tableColumns>
  <tableStyleInfo name="TableStyleMedium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9274D8EA-FDB5-44C9-8B80-7D3F0375DE42}" name="EPAAnnexServEFs" displayName="EPAAnnexServEFs" ref="L12:M17" totalsRowShown="0" tableBorderDxfId="422">
  <autoFilter ref="L12:M17" xr:uid="{9274D8EA-FDB5-44C9-8B80-7D3F0375DE42}"/>
  <tableColumns count="2">
    <tableColumn id="1" xr3:uid="{AD29D0CE-B2C5-445B-A62A-0145BADBEF9C}" name="services" dataDxfId="421"/>
    <tableColumn id="2" xr3:uid="{610DB969-4A91-4E52-B092-D88C0A98CD97}" name="kg CH4/service" dataDxfId="420" dataCellStyle="Comma"/>
  </tableColumns>
  <tableStyleInfo name="TableStyleMedium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257FD3F6-7B24-450F-BCB8-55B9E18C456D}" name="NGridProjectedMiles" displayName="NGridProjectedMiles" ref="A28:G38" totalsRowShown="0" headerRowDxfId="419" dataDxfId="418" tableBorderDxfId="417" dataCellStyle="Comma">
  <autoFilter ref="A28:G38" xr:uid="{257FD3F6-7B24-450F-BCB8-55B9E18C456D}"/>
  <tableColumns count="7">
    <tableColumn id="1" xr3:uid="{37BE86C5-DF3A-47A9-AE8F-11F486F21C77}" name="Miles" dataDxfId="416"/>
    <tableColumn id="2" xr3:uid="{FD11E356-9222-4CB6-B532-895DE7E1682A}" name="reported 2024" dataDxfId="415" dataCellStyle="Comma"/>
    <tableColumn id="3" xr3:uid="{EA0D6DA3-F4F7-4EED-B075-30F68968A843}" name="projected 2025" dataDxfId="414" dataCellStyle="Comma"/>
    <tableColumn id="4" xr3:uid="{D868FBD8-09CE-4695-83A4-EC682B9CE2E2}" name="projected 2026" dataDxfId="413" dataCellStyle="Comma"/>
    <tableColumn id="5" xr3:uid="{6044E855-C7E0-42EE-963E-D960AF4EBA22}" name="projected 2027" dataDxfId="412" dataCellStyle="Comma"/>
    <tableColumn id="6" xr3:uid="{EE6A0219-FC83-426E-B6A8-B4CAAC34C5A9}" name="projected 2028" dataDxfId="411" dataCellStyle="Comma"/>
    <tableColumn id="7" xr3:uid="{B5AF9B3E-2CD8-47CA-B193-5A3DD07EE2D4}" name="projected 2029" dataDxfId="410" dataCellStyle="Comma"/>
  </tableColumns>
  <tableStyleInfo name="TableStyleMedium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AD9F3A3E-014D-4FB6-B453-BA595DA9FFE5}" name="NGridProjectedServices" displayName="NGridProjectedServices" ref="A39:G50" totalsRowShown="0" headerRowDxfId="409" dataDxfId="408" tableBorderDxfId="407" dataCellStyle="Comma">
  <autoFilter ref="A39:G50" xr:uid="{AD9F3A3E-014D-4FB6-B453-BA595DA9FFE5}"/>
  <tableColumns count="7">
    <tableColumn id="1" xr3:uid="{A8867528-B86B-4356-BA1E-E463230CC946}" name="Services" dataDxfId="406"/>
    <tableColumn id="2" xr3:uid="{760F1C84-5CDF-48E4-AE54-52B3A13DB79C}" name="reported 2024" dataDxfId="405" dataCellStyle="Comma"/>
    <tableColumn id="3" xr3:uid="{C01A1D73-5168-4248-8BF0-5F1BB5E471AE}" name="projected 2025" dataDxfId="404" dataCellStyle="Comma"/>
    <tableColumn id="4" xr3:uid="{64DE43F2-5C9D-41C8-8DD8-89E988FAA5D1}" name="projected 2026" dataDxfId="403" dataCellStyle="Comma"/>
    <tableColumn id="5" xr3:uid="{FF8469E9-6774-40A5-BC77-EBB71743414E}" name="projected 2027" dataDxfId="402" dataCellStyle="Comma"/>
    <tableColumn id="6" xr3:uid="{ABEF3E19-6C40-4BF5-879D-79531FEC175D}" name="projected 2028" dataDxfId="401" dataCellStyle="Comma"/>
    <tableColumn id="7" xr3:uid="{5141B7E7-0A1C-4570-8EB5-5060AB6C6DA9}" name="projected 2029" dataDxfId="400" dataCellStyle="Comma"/>
  </tableColumns>
  <tableStyleInfo name="TableStyleMedium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B974A557-1A90-4973-96E3-3DF041158371}" name="NSTARProjectedServices" displayName="NSTARProjectedServices" ref="A171:G182" totalsRowShown="0" headerRowDxfId="399" dataDxfId="397" headerRowBorderDxfId="398" tableBorderDxfId="396" dataCellStyle="Comma">
  <autoFilter ref="A171:G182" xr:uid="{B974A557-1A90-4973-96E3-3DF041158371}"/>
  <tableColumns count="7">
    <tableColumn id="1" xr3:uid="{AA8CA34F-AAD9-4C46-8914-77D14EBD814D}" name="Services" dataDxfId="395"/>
    <tableColumn id="2" xr3:uid="{989A4B25-258B-4101-A6B8-81C304AFDD9D}" name="reported 2024" dataDxfId="394" dataCellStyle="Comma"/>
    <tableColumn id="3" xr3:uid="{C5484846-C331-468E-909A-323B5DDE255A}" name="projected 2025" dataDxfId="393" dataCellStyle="Comma"/>
    <tableColumn id="4" xr3:uid="{33D8CAE7-30DB-426A-BCF0-DDC75F91EAD1}" name="projected 2026" dataDxfId="392" dataCellStyle="Comma"/>
    <tableColumn id="5" xr3:uid="{FA96A27C-75CB-4BB6-94C0-8232C7A526AF}" name="projected 2027" dataDxfId="391" dataCellStyle="Comma"/>
    <tableColumn id="6" xr3:uid="{C056C9E1-F483-479E-944E-B4E5BB5B8E82}" name="projected 2028" dataDxfId="390" dataCellStyle="Comma"/>
    <tableColumn id="7" xr3:uid="{F34F5E40-31D5-4474-856E-6B1FCF360F89}" name="projected 2029" dataDxfId="389" dataCellStyle="Comma"/>
  </tableColumns>
  <tableStyleInfo name="TableStyleMedium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6B8B8E3C-8D7E-49F6-B403-92197FA228B1}" name="NSTARProjectedMiles" displayName="NSTARProjectedMiles" ref="A160:G170" totalsRowShown="0" headerRowDxfId="388" dataDxfId="386" headerRowBorderDxfId="387" tableBorderDxfId="385" dataCellStyle="Comma">
  <autoFilter ref="A160:G170" xr:uid="{6B8B8E3C-8D7E-49F6-B403-92197FA228B1}"/>
  <tableColumns count="7">
    <tableColumn id="1" xr3:uid="{7038D2F8-4C0D-40FB-8C25-E517765F41A9}" name="Miles" dataDxfId="384"/>
    <tableColumn id="2" xr3:uid="{5067C302-1A81-46BE-98DA-AEBB023B88B8}" name="reported 2024" dataDxfId="383" dataCellStyle="Comma"/>
    <tableColumn id="3" xr3:uid="{1411F938-C006-46DA-B8C6-E1C721990439}" name="projected 2025" dataDxfId="382" dataCellStyle="Comma"/>
    <tableColumn id="4" xr3:uid="{A9817AA9-9DE9-4BF8-A7F1-6BBD8BE15EF7}" name="projected 2026" dataDxfId="381" dataCellStyle="Comma"/>
    <tableColumn id="5" xr3:uid="{B0E50DEA-8A8B-4B5D-B56F-0188D0D310D7}" name="projected 2027" dataDxfId="380" dataCellStyle="Comma"/>
    <tableColumn id="6" xr3:uid="{091B13CE-706C-4097-BEF5-104D95E35C29}" name="projected 2028" dataDxfId="379" dataCellStyle="Comma"/>
    <tableColumn id="7" xr3:uid="{A0DB5704-A8FF-4849-8078-5B62F5C79699}" name="projected 2029" dataDxfId="378" dataCellStyle="Comma"/>
  </tableColumns>
  <tableStyleInfo name="TableStyleMedium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ACD5D7AF-AB0D-48B5-9B9A-1CEA90F888E8}" name="LibertyProjectedServices" displayName="LibertyProjectedServices" ref="A145:G156" totalsRowShown="0" headerRowDxfId="377" dataDxfId="375" headerRowBorderDxfId="376" tableBorderDxfId="374" dataCellStyle="Comma">
  <autoFilter ref="A145:G156" xr:uid="{ACD5D7AF-AB0D-48B5-9B9A-1CEA90F888E8}"/>
  <tableColumns count="7">
    <tableColumn id="1" xr3:uid="{9848C771-AA05-49B6-AAD8-052774982D0C}" name="Services" dataDxfId="373"/>
    <tableColumn id="2" xr3:uid="{C381F9AF-3E56-42C3-9E00-BC8485C5CDB1}" name="reported 2024" dataDxfId="372" dataCellStyle="Comma"/>
    <tableColumn id="3" xr3:uid="{4FAF889D-8F77-4ABB-82C7-32D85F2E84DA}" name="projected 2025" dataDxfId="371" dataCellStyle="Comma"/>
    <tableColumn id="4" xr3:uid="{320E0108-AE9B-426A-83EC-4200A605FF3C}" name="projected 2026" dataDxfId="370" dataCellStyle="Comma"/>
    <tableColumn id="5" xr3:uid="{2951B4F5-7B80-44A6-9588-39896F4BBF1A}" name="projected 2027" dataDxfId="369" dataCellStyle="Comma"/>
    <tableColumn id="6" xr3:uid="{0E13519C-E9BE-4731-AD00-232B87ADCD5C}" name="projected 2028" dataDxfId="368" dataCellStyle="Comma"/>
    <tableColumn id="7" xr3:uid="{58B4FD9F-E5BD-4A47-9DCF-E73E20A042E0}" name="projected 2029" dataDxfId="367" dataCellStyle="Comma"/>
  </tableColumns>
  <tableStyleInfo name="TableStyleMedium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47D2E5EF-ADD5-4D43-9598-8E40EB226BD9}" name="LibertyProjectedMiles" displayName="LibertyProjectedMiles" ref="A134:G144" totalsRowShown="0" headerRowDxfId="366" dataDxfId="364" headerRowBorderDxfId="365" tableBorderDxfId="363" dataCellStyle="Comma">
  <autoFilter ref="A134:G144" xr:uid="{47D2E5EF-ADD5-4D43-9598-8E40EB226BD9}"/>
  <tableColumns count="7">
    <tableColumn id="1" xr3:uid="{8843E9A2-7960-4A9F-A114-0B471D2F1781}" name="Miles" dataDxfId="362"/>
    <tableColumn id="2" xr3:uid="{4E4D9B6D-21BB-466C-8E5C-469AF799E238}" name="reported 2024" dataDxfId="361" dataCellStyle="Comma"/>
    <tableColumn id="3" xr3:uid="{F1103E8D-F124-4FA8-8E2A-5875AF54E6A2}" name="projected 2025" dataDxfId="360" dataCellStyle="Comma"/>
    <tableColumn id="4" xr3:uid="{EA2BB920-9AA3-4BC0-A060-D98DDF78FBDC}" name="projected 2026" dataDxfId="359" dataCellStyle="Comma"/>
    <tableColumn id="5" xr3:uid="{D32E4030-C7FC-4527-B588-FB2913C00E26}" name="projected 2027" dataDxfId="358" dataCellStyle="Comma"/>
    <tableColumn id="6" xr3:uid="{2FA04F7A-AB6E-48B6-9665-B17CCA69119D}" name="projected 2028" dataDxfId="357" dataCellStyle="Comma"/>
    <tableColumn id="7" xr3:uid="{483A6605-93A6-42E2-B745-C858F9B43589}" name="projected 2029" dataDxfId="356" dataCellStyle="Comma"/>
  </tableColumns>
  <tableStyleInfo name="TableStyleMedium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F4A89FAE-D22F-468F-9B67-6137B2357127}" name="UnitilProjectedServices" displayName="UnitilProjectedServices" ref="A119:G130" totalsRowShown="0" headerRowDxfId="355" dataDxfId="353" headerRowBorderDxfId="354" tableBorderDxfId="352" dataCellStyle="Comma">
  <autoFilter ref="A119:G130" xr:uid="{F4A89FAE-D22F-468F-9B67-6137B2357127}"/>
  <tableColumns count="7">
    <tableColumn id="1" xr3:uid="{138D6D8A-ACC2-4B89-BA57-87A228CCB84A}" name="Services" dataDxfId="351"/>
    <tableColumn id="2" xr3:uid="{EF2F42D8-0C05-479F-9F76-3C78922A6F25}" name="reported 2024" dataDxfId="350" dataCellStyle="Comma"/>
    <tableColumn id="3" xr3:uid="{C5834D74-FE8E-4492-8AFA-223B098C7340}" name="projected 2025" dataDxfId="349" dataCellStyle="Comma"/>
    <tableColumn id="4" xr3:uid="{E9C07C02-99B0-4602-B664-E574691420AF}" name="projected 2026" dataDxfId="348" dataCellStyle="Comma"/>
    <tableColumn id="5" xr3:uid="{3C8E5B27-2D7C-49E2-8F9D-10B49406EE99}" name="projected 2027" dataDxfId="347" dataCellStyle="Comma"/>
    <tableColumn id="6" xr3:uid="{E59AEEB1-A288-42DD-A9C0-17A904023B67}" name="projected 2028" dataDxfId="346" dataCellStyle="Comma"/>
    <tableColumn id="7" xr3:uid="{DC837162-787A-4BAE-A1E5-ED538C646DB2}" name="projected 2029" dataDxfId="345" dataCellStyle="Comma"/>
  </tableColumns>
  <tableStyleInfo name="TableStyleMedium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2A1CBBDC-2AB2-4222-8CF3-E814314FCBAA}" name="UnitilProjectedMiles" displayName="UnitilProjectedMiles" ref="A108:G118" totalsRowShown="0" headerRowDxfId="344" dataDxfId="342" headerRowBorderDxfId="343" tableBorderDxfId="341" dataCellStyle="Comma">
  <autoFilter ref="A108:G118" xr:uid="{2A1CBBDC-2AB2-4222-8CF3-E814314FCBAA}"/>
  <tableColumns count="7">
    <tableColumn id="1" xr3:uid="{09EFB4C3-2172-4C88-AD90-253F04DAE9A6}" name="Miles" dataDxfId="340"/>
    <tableColumn id="2" xr3:uid="{8BDCE7A5-3627-48B0-9EC9-8CB4F47C4CF0}" name="reported 2024" dataDxfId="339" dataCellStyle="Comma"/>
    <tableColumn id="3" xr3:uid="{0A287010-51B8-4FA8-AE63-905BF70159BC}" name="projected 2025" dataDxfId="338" dataCellStyle="Comma"/>
    <tableColumn id="4" xr3:uid="{25493EC8-8C25-4D59-8BF2-FD1CFCD23EA7}" name="projected 2026" dataDxfId="337" dataCellStyle="Comma"/>
    <tableColumn id="5" xr3:uid="{F87DDDBF-47F8-45C8-9E34-B634B509B71D}" name="projected 2027" dataDxfId="336" dataCellStyle="Comma"/>
    <tableColumn id="6" xr3:uid="{5B2EB486-8BB6-45BF-9ED4-0B70265C79C7}" name="projected 2028" dataDxfId="335" dataCellStyle="Comma"/>
    <tableColumn id="7" xr3:uid="{3787AC65-E2A8-4358-9DFA-E85139E5F98B}" name="projected 2029" dataDxfId="334" dataCellStyle="Comma"/>
  </tableColumns>
  <tableStyleInfo name="TableStyleMedium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DC5D4F40-1700-4AEB-A617-F40B58598CB8}" name="BerkshireProjectedMiles" displayName="BerkshireProjectedMiles" ref="A82:G92" totalsRowShown="0" headerRowDxfId="333" headerRowBorderDxfId="332" tableBorderDxfId="331">
  <autoFilter ref="A82:G92" xr:uid="{DC5D4F40-1700-4AEB-A617-F40B58598CB8}"/>
  <tableColumns count="7">
    <tableColumn id="1" xr3:uid="{3F1E7C31-64E8-4081-BB2B-CEBBA916C5B0}" name="Miles" dataDxfId="330"/>
    <tableColumn id="2" xr3:uid="{D1F0CC08-93C1-46D0-851F-7422A9F44BE2}" name="reported 2024" dataDxfId="329" dataCellStyle="Comma"/>
    <tableColumn id="3" xr3:uid="{149F4DF0-A6C9-4967-A214-77EA9DC54E7C}" name="projected 2025" dataDxfId="328" dataCellStyle="Comma"/>
    <tableColumn id="4" xr3:uid="{61AEBD94-7F4A-49CF-9F82-EF20569190DF}" name="projected 2026" dataDxfId="327" dataCellStyle="Comma"/>
    <tableColumn id="5" xr3:uid="{377E2212-16B5-4EB7-B112-A82CF05E18C1}" name="projected 2027" dataDxfId="326" dataCellStyle="Comma"/>
    <tableColumn id="6" xr3:uid="{BC2170CE-8E10-4413-8EE5-9AA48DA61609}" name="projected 2028" dataDxfId="325" dataCellStyle="Comma"/>
    <tableColumn id="7" xr3:uid="{88067A16-B04E-4FA1-A472-1094CF6E3026}" name="projected 2029" dataDxfId="324" dataCellStyle="Comma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CDC9A43-66B2-4A7D-AE1F-DF1356EB3CED}" name="NSTARServMemoTable3" displayName="NSTARServMemoTable3" ref="A175:D187" totalsRowShown="0" headerRowDxfId="540" dataDxfId="538" headerRowBorderDxfId="539" tableBorderDxfId="537">
  <autoFilter ref="A175:D187" xr:uid="{DCDC9A43-66B2-4A7D-AE1F-DF1356EB3CED}"/>
  <tableColumns count="4">
    <tableColumn id="1" xr3:uid="{8ACDFA6A-2E96-4F69-B846-725B19D06440}" name="Services" dataDxfId="536"/>
    <tableColumn id="2" xr3:uid="{48787690-A3B3-479F-9557-E967ADE34B5D}" name="2024 reported services" dataDxfId="535" dataCellStyle="Comma"/>
    <tableColumn id="3" xr3:uid="{B90FADE1-3856-423A-85CB-A265AE77A955}" name="2024 reported emissions in mt CO2e" dataDxfId="534" dataCellStyle="Comma"/>
    <tableColumn id="4" xr3:uid="{B5D8443E-E714-4229-8B9F-E77E6502FEFF}" name="2024 reported emissions converted to mt CH4" dataDxfId="533" dataCellStyle="Comma"/>
  </tableColumns>
  <tableStyleInfo name="TableStyleMedium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5E48B3DA-6F9C-4BB6-A11E-B1CE85CCCB5F}" name="BerkshireProjectedServices" displayName="BerkshireProjectedServices" ref="A93:G104" totalsRowShown="0" headerRowDxfId="323" headerRowBorderDxfId="322" tableBorderDxfId="321">
  <autoFilter ref="A93:G104" xr:uid="{5E48B3DA-6F9C-4BB6-A11E-B1CE85CCCB5F}"/>
  <tableColumns count="7">
    <tableColumn id="1" xr3:uid="{61284C83-F175-4170-9573-BCBC2014919D}" name="Services" dataDxfId="320"/>
    <tableColumn id="2" xr3:uid="{35834F7F-8077-48A8-B824-2AE2839903D3}" name="reported 2024" dataDxfId="319" dataCellStyle="Comma"/>
    <tableColumn id="3" xr3:uid="{C49664CE-9BB8-4247-B6DF-4134334905B8}" name="projected 2025" dataDxfId="318" dataCellStyle="Comma"/>
    <tableColumn id="4" xr3:uid="{8169B66F-7280-4BC9-8173-4D4AA02755C0}" name="projected 2026" dataDxfId="317" dataCellStyle="Comma"/>
    <tableColumn id="5" xr3:uid="{E700D855-EA71-440B-8D5D-EDFB1484CDDD}" name="projected 2027" dataDxfId="316" dataCellStyle="Comma"/>
    <tableColumn id="6" xr3:uid="{3F0165D8-2684-41CB-86D5-0E667D9A78E1}" name="projected 2028" dataDxfId="315" dataCellStyle="Comma"/>
    <tableColumn id="7" xr3:uid="{6B0AFF22-9F74-4398-B143-6DD149765844}" name="projected 2029" dataDxfId="314" dataCellStyle="Comma"/>
  </tableColumns>
  <tableStyleInfo name="TableStyleMedium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2B3721E9-39D2-4CFC-A943-300FD4E7276D}" name="EGMAProjectedServices" displayName="EGMAProjectedServices" ref="A67:G78" totalsRowShown="0" headerRowDxfId="313" dataDxfId="311" headerRowBorderDxfId="312" tableBorderDxfId="310" dataCellStyle="Comma">
  <autoFilter ref="A67:G78" xr:uid="{2B3721E9-39D2-4CFC-A943-300FD4E7276D}"/>
  <tableColumns count="7">
    <tableColumn id="1" xr3:uid="{70FDC7BB-ACB4-4B75-B9CA-2AFB0A0A7E3F}" name="Services" dataDxfId="309"/>
    <tableColumn id="2" xr3:uid="{3E327288-BFBB-419D-BE72-3775B863254C}" name="reported 2024" dataDxfId="308" dataCellStyle="Comma"/>
    <tableColumn id="3" xr3:uid="{277E001F-5C66-4F99-8B66-8956F6075D01}" name="projected 2025" dataDxfId="307" dataCellStyle="Comma"/>
    <tableColumn id="4" xr3:uid="{8F6EEB3E-0072-45C2-B85F-272D97B78E1D}" name="projected 2026" dataDxfId="306" dataCellStyle="Comma"/>
    <tableColumn id="5" xr3:uid="{61E1A0C4-CB04-4E36-87D0-9F14F26AF15F}" name="projected 2027" dataDxfId="305" dataCellStyle="Comma"/>
    <tableColumn id="6" xr3:uid="{43C709BC-F418-4CDA-AD68-1108643B5B73}" name="projected 2028" dataDxfId="304" dataCellStyle="Comma"/>
    <tableColumn id="7" xr3:uid="{42334EF7-05E4-46FF-B6C8-D75BA24949C9}" name="projected 2029" dataDxfId="303" dataCellStyle="Comma"/>
  </tableColumns>
  <tableStyleInfo name="TableStyleMedium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5ABE1933-CDD4-4AD7-A050-1A517078D79A}" name="EGMAProjectedMiles" displayName="EGMAProjectedMiles" ref="A56:G66" totalsRowShown="0" headerRowDxfId="302" dataDxfId="300" headerRowBorderDxfId="301" tableBorderDxfId="299" dataCellStyle="Comma">
  <autoFilter ref="A56:G66" xr:uid="{5ABE1933-CDD4-4AD7-A050-1A517078D79A}"/>
  <tableColumns count="7">
    <tableColumn id="1" xr3:uid="{A0D473FF-A08E-4F1F-87D5-7605BD0AA976}" name="Miles" dataDxfId="298"/>
    <tableColumn id="2" xr3:uid="{FD81A644-BB96-4AE6-A229-47B64E7B6B24}" name="reported 2024" dataDxfId="297" dataCellStyle="Comma"/>
    <tableColumn id="3" xr3:uid="{6381EA41-DF06-4FF8-91A9-E4F55AC5A0A9}" name="projected 2025" dataDxfId="296" dataCellStyle="Comma"/>
    <tableColumn id="4" xr3:uid="{60D5C182-AEA2-46F8-94F7-95CA24AD9694}" name="projected 2026" dataDxfId="295" dataCellStyle="Comma"/>
    <tableColumn id="5" xr3:uid="{B8264588-6DB2-4497-BADB-9716A0363E07}" name="projected 2027" dataDxfId="294" dataCellStyle="Comma"/>
    <tableColumn id="6" xr3:uid="{8C9F3BB4-3C38-4B4B-A3F0-DB17A5A8E6BE}" name="projected 2028" dataDxfId="293" dataCellStyle="Comma"/>
    <tableColumn id="7" xr3:uid="{2016EF5E-6DB3-4804-AFA4-876D4508A6A3}" name="projected 2029" dataDxfId="292" dataCellStyle="Comma"/>
  </tableColumns>
  <tableStyleInfo name="TableStyleMedium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8A3F53F-4BB7-49EC-8287-80010F1EAAD4}" name="NGridReportedMiles" displayName="NGridReportedMiles" ref="Y28:AF38" totalsRowShown="0" headerRowDxfId="291" dataDxfId="290" dataCellStyle="Comma">
  <autoFilter ref="Y28:AF38" xr:uid="{18A3F53F-4BB7-49EC-8287-80010F1EAAD4}"/>
  <tableColumns count="8">
    <tableColumn id="1" xr3:uid="{CA99763F-143B-4093-8B6A-02F64962DC15}" name="Miles" dataDxfId="289"/>
    <tableColumn id="2" xr3:uid="{3FDE09CD-D9CC-44AE-B139-73C8A26823B1}" name="Reported 2018" dataDxfId="288" dataCellStyle="Comma"/>
    <tableColumn id="3" xr3:uid="{3FC7F461-5A4F-47C4-B1EC-D2A73B8C88E1}" name="Reported 2019" dataDxfId="287" dataCellStyle="Comma"/>
    <tableColumn id="4" xr3:uid="{660758DC-BC66-47BE-AA00-CD2B564D1D2B}" name="Reported 2020" dataDxfId="286" dataCellStyle="Comma"/>
    <tableColumn id="5" xr3:uid="{D9910FB4-B223-4B20-80A4-3D0B1BFACD7A}" name="Reported 2021" dataDxfId="285" dataCellStyle="Comma"/>
    <tableColumn id="6" xr3:uid="{F5F7265E-2658-439E-8EBF-AD9642CEB203}" name="Reported 2022" dataDxfId="284" dataCellStyle="Comma"/>
    <tableColumn id="7" xr3:uid="{864C106A-7836-4DFA-926F-78BDD55F4AE0}" name="Reported 2023" dataDxfId="283" dataCellStyle="Comma"/>
    <tableColumn id="8" xr3:uid="{A40F0407-BBE9-4D69-8583-C0661FB09859}" name="Reported 2024" dataDxfId="282" dataCellStyle="Comma"/>
  </tableColumns>
  <tableStyleInfo name="TableStyleMedium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C879E65-3033-46CD-BE43-6BB9E223634C}" name="NGridReportedServices" displayName="NGridReportedServices" ref="Y39:AF49" totalsRowShown="0" headerRowDxfId="281" dataDxfId="280" dataCellStyle="Comma">
  <autoFilter ref="Y39:AF49" xr:uid="{7C879E65-3033-46CD-BE43-6BB9E223634C}"/>
  <tableColumns count="8">
    <tableColumn id="1" xr3:uid="{BE9170A1-818B-4419-A354-2FCDFB5803D7}" name="Services" dataDxfId="279"/>
    <tableColumn id="2" xr3:uid="{EE75A715-1969-4139-9A40-D0C1AB1CD7E7}" name="Reported 2018" dataDxfId="278" dataCellStyle="Comma"/>
    <tableColumn id="3" xr3:uid="{DD6D45C8-194D-4382-AA7A-20A008106E25}" name="Reported 2019" dataDxfId="277" dataCellStyle="Comma"/>
    <tableColumn id="4" xr3:uid="{A1FE1B84-F9C8-4346-B0B9-A9B57FE3590B}" name="Reported 2020" dataDxfId="276" dataCellStyle="Comma"/>
    <tableColumn id="5" xr3:uid="{48400E00-73AF-498F-B5D8-C1B41094AA01}" name="Reported 2021" dataDxfId="275" dataCellStyle="Comma"/>
    <tableColumn id="6" xr3:uid="{1B928690-7A7B-47AE-9786-6D2661F417CB}" name="Reported 2022" dataDxfId="274" dataCellStyle="Comma"/>
    <tableColumn id="7" xr3:uid="{78BE16C0-9131-45E7-BA60-86A92DF903A8}" name="Reported 2023" dataDxfId="273" dataCellStyle="Comma"/>
    <tableColumn id="8" xr3:uid="{FFABDF6E-180D-439A-88B0-7093556F32C1}" name="Reported 2024" dataDxfId="272" dataCellStyle="Comma"/>
  </tableColumns>
  <tableStyleInfo name="TableStyleMedium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DF8D08AD-1831-4DF5-9A41-2C8A76DB4D90}" name="EGMAReportedMiles" displayName="EGMAReportedMiles" ref="Y56:AF66" totalsRowShown="0" headerRowDxfId="271" dataDxfId="270" dataCellStyle="Comma">
  <autoFilter ref="Y56:AF66" xr:uid="{DF8D08AD-1831-4DF5-9A41-2C8A76DB4D90}"/>
  <tableColumns count="8">
    <tableColumn id="1" xr3:uid="{FF322C5B-CF29-48E3-8A53-D7E8216F9ED5}" name="Miles" dataDxfId="269"/>
    <tableColumn id="2" xr3:uid="{38265448-FD0D-4145-9E6B-A80F6368FA55}" name="Reported 2018" dataDxfId="268" dataCellStyle="Comma"/>
    <tableColumn id="3" xr3:uid="{821D60BF-0883-431C-B582-B6F2ACA71A70}" name="Reported 2019" dataDxfId="267" dataCellStyle="Comma"/>
    <tableColumn id="4" xr3:uid="{9288FBF6-BD6E-405A-A6CD-7BC9ECFDF013}" name="Reported 2020" dataDxfId="266" dataCellStyle="Comma"/>
    <tableColumn id="5" xr3:uid="{1BD4A1CE-09BB-4B8E-BB1E-1458C17799FC}" name="Reported 2021" dataDxfId="265" dataCellStyle="Comma"/>
    <tableColumn id="6" xr3:uid="{26D07E95-F760-4FA2-A65D-823E2BC98828}" name="Reported 2022" dataDxfId="264" dataCellStyle="Comma"/>
    <tableColumn id="7" xr3:uid="{4CF73BC9-477F-48F9-8035-36C8F7E40E07}" name="Reported 2023" dataDxfId="263" dataCellStyle="Comma"/>
    <tableColumn id="8" xr3:uid="{2514C26E-678B-4AAC-8BA4-46EE9FC54545}" name="Reported 2024" dataDxfId="262" dataCellStyle="Comma"/>
  </tableColumns>
  <tableStyleInfo name="TableStyleMedium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48340F53-570B-4A63-9749-CE0A6EA75019}" name="EGMAReportedServices" displayName="EGMAReportedServices" ref="Y67:AF78" totalsRowShown="0" headerRowDxfId="261" dataDxfId="260" dataCellStyle="Comma">
  <autoFilter ref="Y67:AF78" xr:uid="{48340F53-570B-4A63-9749-CE0A6EA75019}"/>
  <tableColumns count="8">
    <tableColumn id="1" xr3:uid="{DD17B836-0FE3-4549-8B7D-406878D8DE1F}" name="Services" dataDxfId="259"/>
    <tableColumn id="2" xr3:uid="{91AEB22C-2B82-46A9-A90C-97BB272B418C}" name="Reported 2018" dataDxfId="258" dataCellStyle="Comma"/>
    <tableColumn id="3" xr3:uid="{5A115B4A-BE43-43C5-AE6D-90A1BBB04C77}" name="Reported 2019" dataDxfId="257" dataCellStyle="Comma"/>
    <tableColumn id="4" xr3:uid="{A5FF9011-4EC5-41DE-819E-0D88186F6593}" name="Reported 2020" dataDxfId="256" dataCellStyle="Comma"/>
    <tableColumn id="5" xr3:uid="{FDC01B39-DB4F-4C69-8F9B-3EE5FE8215AD}" name="Reported 2021" dataDxfId="255" dataCellStyle="Comma"/>
    <tableColumn id="6" xr3:uid="{DDC98BE1-2B30-479F-9389-F3234EC8A99C}" name="Reported 2022" dataDxfId="254" dataCellStyle="Comma"/>
    <tableColumn id="7" xr3:uid="{0E4F16CF-9D71-4B6B-BE0A-4D351382A78C}" name="Reported 2023" dataDxfId="253" dataCellStyle="Comma"/>
    <tableColumn id="8" xr3:uid="{883B974F-7E08-4BC7-920D-779BF15FC58C}" name="Reported 2024" dataDxfId="252" dataCellStyle="Comma"/>
  </tableColumns>
  <tableStyleInfo name="TableStyleMedium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7E20951F-B1E6-48BB-8E33-EF7533C26EC8}" name="BerkshireReportedMiles" displayName="BerkshireReportedMiles" ref="Y82:AF92" totalsRowShown="0" headerRowDxfId="251" dataDxfId="250" dataCellStyle="Comma">
  <autoFilter ref="Y82:AF92" xr:uid="{7E20951F-B1E6-48BB-8E33-EF7533C26EC8}"/>
  <tableColumns count="8">
    <tableColumn id="1" xr3:uid="{9E7D0FDA-B578-42E6-B4A0-1F372715927C}" name="Miles" dataDxfId="249"/>
    <tableColumn id="2" xr3:uid="{34131E11-1B43-4057-84DE-4781CDAF6488}" name="Reported 2018" dataDxfId="248"/>
    <tableColumn id="3" xr3:uid="{FCBEB762-0351-4B45-9858-A9BD50521645}" name="Reported 2019" dataDxfId="247"/>
    <tableColumn id="4" xr3:uid="{8646037F-9FC9-460E-9F0F-13AB98229CEB}" name="Reported 2020" dataDxfId="246"/>
    <tableColumn id="5" xr3:uid="{09D778E0-E011-4B0D-92A3-08772D3198CB}" name="Reported 2021" dataDxfId="245" dataCellStyle="Comma"/>
    <tableColumn id="6" xr3:uid="{D0577D1D-32F2-4238-B85B-C8C806940B68}" name="Reported 2022" dataDxfId="244" dataCellStyle="Comma"/>
    <tableColumn id="7" xr3:uid="{92696B20-6EDC-4B66-A6FA-8C39BC71C0EA}" name="Reported 2023" dataDxfId="243" dataCellStyle="Comma"/>
    <tableColumn id="8" xr3:uid="{1CF8C291-CE13-4831-B840-5AEEEE502DF4}" name="Reported 2024" dataDxfId="242" dataCellStyle="Comma"/>
  </tableColumns>
  <tableStyleInfo name="TableStyleMedium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D985CEF5-C6B1-4125-8C45-5020A91DE1DA}" name="BerkshireReportedServices" displayName="BerkshireReportedServices" ref="Y93:AF104" totalsRowShown="0" headerRowDxfId="241" dataDxfId="240" dataCellStyle="Comma">
  <autoFilter ref="Y93:AF104" xr:uid="{D985CEF5-C6B1-4125-8C45-5020A91DE1DA}"/>
  <tableColumns count="8">
    <tableColumn id="1" xr3:uid="{C4CFA6C2-700D-4ACD-87FF-F8A90DADC2BE}" name="Services" dataDxfId="239"/>
    <tableColumn id="2" xr3:uid="{50EDB010-5306-4C1E-B785-BFEED7C49CE4}" name="Reported 2018" dataDxfId="238"/>
    <tableColumn id="3" xr3:uid="{F34563E0-98DE-4F2D-8130-8BDF760D94ED}" name="Reported 2019" dataDxfId="237"/>
    <tableColumn id="4" xr3:uid="{E22E8222-A420-4ECA-8DC7-F1CA254390A3}" name="Reported 2020" dataDxfId="236"/>
    <tableColumn id="5" xr3:uid="{8833BC53-B02A-4F07-8CFC-30C900C39FAD}" name="Reported 2021" dataDxfId="235" dataCellStyle="Comma"/>
    <tableColumn id="6" xr3:uid="{238C8E59-093F-4803-8E00-B5EDBF70A1EF}" name="Reported 2022" dataDxfId="234" dataCellStyle="Comma"/>
    <tableColumn id="7" xr3:uid="{BA3FFD1F-9CD0-4699-A3B8-8096C3C390AF}" name="Reported 2023" dataDxfId="233" dataCellStyle="Comma"/>
    <tableColumn id="8" xr3:uid="{3EE17356-FCDB-4B7D-B762-C128D36D3287}" name="Reported 2024" dataDxfId="232" dataCellStyle="Comma"/>
  </tableColumns>
  <tableStyleInfo name="TableStyleMedium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DFBE38C7-6DBE-4EDC-B792-7ED463EEAB37}" name="UnitilReportedMiles" displayName="UnitilReportedMiles" ref="Y108:AF118" totalsRowShown="0" headerRowDxfId="231">
  <autoFilter ref="Y108:AF118" xr:uid="{DFBE38C7-6DBE-4EDC-B792-7ED463EEAB37}"/>
  <tableColumns count="8">
    <tableColumn id="1" xr3:uid="{175B963C-357C-4FDE-A655-78E74109D405}" name="Miles" dataDxfId="230"/>
    <tableColumn id="2" xr3:uid="{3FDAC8FE-2EBA-42C7-AD0E-B63D508C866C}" name="Reported 2018" dataDxfId="229"/>
    <tableColumn id="3" xr3:uid="{72C582AA-B2BD-4420-BA4A-551B388D8C73}" name="Reported 2019" dataDxfId="228"/>
    <tableColumn id="4" xr3:uid="{7BE191AF-9E93-489E-9A64-C375CBBE368A}" name="Reported 2020" dataDxfId="227"/>
    <tableColumn id="5" xr3:uid="{5787F20F-2AA7-49D8-B68C-DF535A320B66}" name="Reported 2021" dataDxfId="226"/>
    <tableColumn id="6" xr3:uid="{6719FB5F-C72E-4277-8B37-DA8D89DC45FC}" name="Reported 2022" dataDxfId="225" dataCellStyle="Comma"/>
    <tableColumn id="7" xr3:uid="{B149EC7B-F15C-4832-BC9F-B36796FEC4A3}" name="Reported 2023" dataDxfId="224" dataCellStyle="Comma"/>
    <tableColumn id="8" xr3:uid="{419ADB01-1A48-455F-9F63-36316329FE28}" name="Reported 2024" dataDxfId="223" dataCellStyle="Comma"/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A834C1A-F175-4DE5-8C9B-0AF974D6F9DC}" name="LibertyServMemoTable3" displayName="LibertyServMemoTable3" ref="A149:D161" totalsRowShown="0" headerRowDxfId="532" dataDxfId="530" headerRowBorderDxfId="531" tableBorderDxfId="529">
  <autoFilter ref="A149:D161" xr:uid="{1A834C1A-F175-4DE5-8C9B-0AF974D6F9DC}"/>
  <tableColumns count="4">
    <tableColumn id="1" xr3:uid="{FD1F0032-D00B-4F29-8C99-4B5B87D9E4C9}" name="Services" dataDxfId="528"/>
    <tableColumn id="2" xr3:uid="{209A2BB8-EF58-4125-9935-E25E7FB0E965}" name="2024 reported services" dataDxfId="527" dataCellStyle="Comma"/>
    <tableColumn id="3" xr3:uid="{5EB1E9F8-B5FB-47D1-914C-3AE830C9ED14}" name="2024 reported emissions in mt CO2e" dataDxfId="526" dataCellStyle="Comma"/>
    <tableColumn id="4" xr3:uid="{44E7392C-97A0-43C3-90B7-AFB9C9909F7F}" name="2024 reported emissions converted to mt CH4" dataDxfId="525" dataCellStyle="Comma"/>
  </tableColumns>
  <tableStyleInfo name="TableStyleMedium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88F44E8F-BD7F-4562-A0AC-CC91987884D2}" name="UnitilReportedServices" displayName="UnitilReportedServices" ref="Y119:AF130" totalsRowShown="0" headerRowDxfId="222" dataDxfId="221" dataCellStyle="Comma">
  <autoFilter ref="Y119:AF130" xr:uid="{88F44E8F-BD7F-4562-A0AC-CC91987884D2}"/>
  <tableColumns count="8">
    <tableColumn id="1" xr3:uid="{3D222BCF-96EF-437E-9ECC-C87361889EB3}" name="Services" dataDxfId="220"/>
    <tableColumn id="2" xr3:uid="{F797E687-BC88-43FB-9C1F-CBD052F3C7DC}" name="Reported 2018" dataDxfId="219"/>
    <tableColumn id="3" xr3:uid="{131DF7C4-68C9-4E52-A163-6ED26BE978C1}" name="Reported 2019" dataDxfId="218"/>
    <tableColumn id="4" xr3:uid="{65231B3E-C49D-45F3-99D6-052A56CB03D1}" name="Reported 2020" dataDxfId="217"/>
    <tableColumn id="5" xr3:uid="{389C54EE-2989-452B-9FF5-D21147419D61}" name="Reported 2021" dataDxfId="216"/>
    <tableColumn id="6" xr3:uid="{38678E53-3EEF-4482-98BC-A0A250B3BC9E}" name="Reported 2022" dataDxfId="215" dataCellStyle="Comma"/>
    <tableColumn id="7" xr3:uid="{D78894C2-D7F6-48D9-9367-D6C56B0DFE70}" name="Reported 2023" dataDxfId="214" dataCellStyle="Comma"/>
    <tableColumn id="8" xr3:uid="{BB3110A7-AA1F-4F7A-BD71-AB3209AEBDBA}" name="Reported 2024" dataDxfId="213" dataCellStyle="Comma"/>
  </tableColumns>
  <tableStyleInfo name="TableStyleMedium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1072DF42-8826-4A74-A285-160C034D7BAC}" name="LibertyReportedMiles" displayName="LibertyReportedMiles" ref="Y134:AF144" totalsRowShown="0" headerRowDxfId="212" dataDxfId="211">
  <autoFilter ref="Y134:AF144" xr:uid="{1072DF42-8826-4A74-A285-160C034D7BAC}"/>
  <tableColumns count="8">
    <tableColumn id="1" xr3:uid="{098AA841-4DEB-4881-9EB2-8F67EE56A955}" name="Miles" dataDxfId="210"/>
    <tableColumn id="2" xr3:uid="{AAB8DCBF-BD60-4F38-8ECF-9ACF5F5E9B97}" name="Reported 2018" dataDxfId="209"/>
    <tableColumn id="3" xr3:uid="{C1630637-9508-447A-A992-7C61CCC92E0D}" name="Reported 2019" dataDxfId="208"/>
    <tableColumn id="4" xr3:uid="{2C6D3962-D69D-4557-AD82-C0F69CA7B6C3}" name="Reported 2020" dataDxfId="207"/>
    <tableColumn id="5" xr3:uid="{D50D6766-F4C9-4716-B1FF-26548E681AAB}" name="Reported 2021" dataDxfId="206"/>
    <tableColumn id="6" xr3:uid="{70C82E55-728E-4E7F-B7D6-03A9BFFE9A05}" name="Reported 2022" dataDxfId="205"/>
    <tableColumn id="7" xr3:uid="{8D02AE69-A6DB-4D41-AEC5-A06844EAE94B}" name="Reported 2023" dataDxfId="204"/>
    <tableColumn id="8" xr3:uid="{E3884A7F-1A4C-4AD9-8FFA-A5A798964235}" name="Reported 2024" dataDxfId="203"/>
  </tableColumns>
  <tableStyleInfo name="TableStyleMedium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51670287-F822-46A0-82A7-92BF8AC458A0}" name="LibertyReportedServices" displayName="LibertyReportedServices" ref="Y145:AF156" totalsRowShown="0" headerRowDxfId="202" dataDxfId="201">
  <autoFilter ref="Y145:AF156" xr:uid="{51670287-F822-46A0-82A7-92BF8AC458A0}"/>
  <tableColumns count="8">
    <tableColumn id="1" xr3:uid="{A4C6254C-803A-4644-8841-24F326E03E2B}" name="Services" dataDxfId="200"/>
    <tableColumn id="2" xr3:uid="{1F7F5786-7E2D-4DD4-B0E9-D4A265B84B0E}" name="Reported 2018" dataDxfId="199"/>
    <tableColumn id="3" xr3:uid="{0833CFCA-6954-48A5-8054-3ECEC2876096}" name="Reported 2019" dataDxfId="198"/>
    <tableColumn id="4" xr3:uid="{DED9AD96-003E-4855-B7ED-ACAB3B88E2A4}" name="Reported 2020" dataDxfId="197"/>
    <tableColumn id="5" xr3:uid="{272A4FF7-6767-4F34-8525-4D81B230DE81}" name="Reported 2021" dataDxfId="196"/>
    <tableColumn id="6" xr3:uid="{32719046-D6D7-4C1C-8BE2-F1C94DA33445}" name="Reported 2022" dataDxfId="195"/>
    <tableColumn id="7" xr3:uid="{69930C74-95E4-42E3-B26C-716710C16D8C}" name="Reported 2023 (resubmitted)" dataDxfId="194"/>
    <tableColumn id="8" xr3:uid="{CAB1B529-C7E3-4A65-9112-B50EF65D846F}" name="Reported 2024 (resubmitted)" dataDxfId="193"/>
  </tableColumns>
  <tableStyleInfo name="TableStyleMedium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EE8AB7FC-C2D1-49AF-A040-EB401341E43C}" name="NSTARReportedMiles" displayName="NSTARReportedMiles" ref="Y160:AF170" totalsRowShown="0" headerRowDxfId="192" dataDxfId="191" dataCellStyle="Comma">
  <autoFilter ref="Y160:AF170" xr:uid="{EE8AB7FC-C2D1-49AF-A040-EB401341E43C}"/>
  <tableColumns count="8">
    <tableColumn id="1" xr3:uid="{37CAAC56-268C-43EB-8231-D55433D5FE20}" name="Miles" dataDxfId="190"/>
    <tableColumn id="2" xr3:uid="{03C7FFF4-6B8C-4075-BC14-8EBAEC842E75}" name="Reported 2018" dataDxfId="189" dataCellStyle="Comma"/>
    <tableColumn id="3" xr3:uid="{3717B191-5AC9-46B6-8A88-21A641B0B5FF}" name="Reported 2019" dataDxfId="188" dataCellStyle="Comma"/>
    <tableColumn id="4" xr3:uid="{032D7EEF-C439-4FB1-A55C-DC1278BC9403}" name="Reported 2020" dataDxfId="187" dataCellStyle="Comma"/>
    <tableColumn id="5" xr3:uid="{E06104F7-C0D5-4688-A277-FAB63DBFF96C}" name="Reported 2021" dataDxfId="186" dataCellStyle="Comma"/>
    <tableColumn id="6" xr3:uid="{D961984E-2606-4571-A283-4B12372EF941}" name="Reported 2022" dataDxfId="185" dataCellStyle="Comma"/>
    <tableColumn id="7" xr3:uid="{6671492A-39FB-4695-8372-59789BDB79D9}" name="Reported 2023" dataDxfId="184" dataCellStyle="Comma"/>
    <tableColumn id="8" xr3:uid="{3C552749-56E6-4E95-9A2C-7DA72F2CE6C3}" name="Reported 2024" dataDxfId="183" dataCellStyle="Comma"/>
  </tableColumns>
  <tableStyleInfo name="TableStyleMedium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5EAF170A-795F-4594-8FCE-8C8647FAD2CA}" name="NSTARReportedServices" displayName="NSTARReportedServices" ref="Y171:AF182" totalsRowShown="0" headerRowDxfId="182" dataDxfId="181" dataCellStyle="Comma">
  <autoFilter ref="Y171:AF182" xr:uid="{5EAF170A-795F-4594-8FCE-8C8647FAD2CA}"/>
  <tableColumns count="8">
    <tableColumn id="1" xr3:uid="{166B101A-FA54-4E30-9538-8B58D2B7451D}" name="Services" dataDxfId="180"/>
    <tableColumn id="2" xr3:uid="{9347BE3E-B2BC-4F09-B868-BFD7D199F29A}" name="Reported 2018" dataDxfId="179" dataCellStyle="Comma"/>
    <tableColumn id="3" xr3:uid="{C8C835F9-FFC6-4B79-B057-A2D3848BBC80}" name="Reported 2019" dataDxfId="178" dataCellStyle="Comma"/>
    <tableColumn id="4" xr3:uid="{AB4D776F-F394-486E-89C2-E8403E7746A1}" name="Reported 2020" dataDxfId="177" dataCellStyle="Comma"/>
    <tableColumn id="5" xr3:uid="{541C9369-D0CD-4EBB-976A-8F6D004B31A9}" name="Reported 2021" dataDxfId="176" dataCellStyle="Comma"/>
    <tableColumn id="6" xr3:uid="{C8B2198F-B205-4BD7-849A-BB4C023B5A34}" name="Reported 2022" dataDxfId="175" dataCellStyle="Comma"/>
    <tableColumn id="7" xr3:uid="{02A481FF-994E-4A58-9B86-C41B8212CC97}" name="Reported 2023" dataDxfId="174" dataCellStyle="Comma"/>
    <tableColumn id="8" xr3:uid="{6BF4D1B1-6F10-4DEA-80D5-EEA425FE12FA}" name="Reported 2024" dataDxfId="173" dataCellStyle="Comma"/>
  </tableColumns>
  <tableStyleInfo name="TableStyleMedium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188E0721-5E41-4CC4-8DCE-999F741120EB}" name="NGridEmissionsCalculations" displayName="NGridEmissionsCalculations" ref="Q28:W50" totalsRowShown="0" headerRowDxfId="172" dataDxfId="171" dataCellStyle="Comma">
  <autoFilter ref="Q28:W50" xr:uid="{188E0721-5E41-4CC4-8DCE-999F741120EB}"/>
  <tableColumns count="7">
    <tableColumn id="1" xr3:uid="{735272B1-C270-4149-B29F-A4F69008ECAB}" name="Miles, Services, Total" dataDxfId="170"/>
    <tableColumn id="2" xr3:uid="{DC7A998C-F85F-4243-B5D2-9407FF93663E}" name="2024" dataDxfId="169" dataCellStyle="Comma"/>
    <tableColumn id="3" xr3:uid="{99E7848C-CE09-469E-88D0-7D7141A715D6}" name="2025" dataDxfId="168" dataCellStyle="Comma"/>
    <tableColumn id="4" xr3:uid="{1B4F847D-CEFE-4A56-836F-819C699CA558}" name="2026" dataDxfId="167" dataCellStyle="Comma"/>
    <tableColumn id="5" xr3:uid="{81966C39-46D7-4513-A929-263506AE28B8}" name="2027" dataDxfId="166" dataCellStyle="Comma"/>
    <tableColumn id="6" xr3:uid="{B34127E0-6665-44AB-8A87-F03D48AF97D2}" name="2028" dataDxfId="165" dataCellStyle="Comma"/>
    <tableColumn id="7" xr3:uid="{4F455B02-2F20-451B-BBD0-C6E8E0E09EFD}" name="2029" dataDxfId="164" dataCellStyle="Comma"/>
  </tableColumns>
  <tableStyleInfo name="TableStyleMedium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B0CBA9EE-B7F4-45EA-B0E2-F2C59A164A37}" name="BerkshireEmissionsCalculations" displayName="BerkshireEmissionsCalculations" ref="Q82:W104" totalsRowShown="0" headerRowDxfId="163" dataDxfId="161" headerRowBorderDxfId="162" tableBorderDxfId="160" dataCellStyle="Comma">
  <autoFilter ref="Q82:W104" xr:uid="{B0CBA9EE-B7F4-45EA-B0E2-F2C59A164A37}"/>
  <tableColumns count="7">
    <tableColumn id="1" xr3:uid="{EA36373B-AD42-42EF-8680-396A0951A676}" name="Miles, Services, Total"/>
    <tableColumn id="2" xr3:uid="{19270A9E-809C-42D3-9A17-5072FAB4B995}" name="2024" dataDxfId="159" dataCellStyle="Comma"/>
    <tableColumn id="3" xr3:uid="{5A24C18E-DE56-41F9-8688-F3530C131E9C}" name="2025" dataDxfId="158" dataCellStyle="Comma"/>
    <tableColumn id="4" xr3:uid="{A8D40DD5-ADF9-4F79-A458-59F0E02D39FA}" name="2026" dataDxfId="157" dataCellStyle="Comma"/>
    <tableColumn id="5" xr3:uid="{5CFA67DA-4D23-4413-8C52-9F57D806E411}" name="2027" dataDxfId="156" dataCellStyle="Comma"/>
    <tableColumn id="6" xr3:uid="{2A4D6EB2-8978-4301-97C8-D493473081CB}" name="2028"/>
    <tableColumn id="7" xr3:uid="{3D698D89-8036-4610-B48B-A1A6C2857EFA}" name="2029"/>
  </tableColumns>
  <tableStyleInfo name="TableStyleMedium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F3F153D1-E687-404E-859A-235D569DCE2A}" name="EGMAEmissionsCalculations" displayName="EGMAEmissionsCalculations" ref="Q56:W78" totalsRowShown="0" headerRowDxfId="155" dataDxfId="153" headerRowBorderDxfId="154" tableBorderDxfId="152" dataCellStyle="Comma">
  <autoFilter ref="Q56:W78" xr:uid="{F3F153D1-E687-404E-859A-235D569DCE2A}"/>
  <tableColumns count="7">
    <tableColumn id="1" xr3:uid="{04A3EA5D-1D2C-4B9C-B6CC-83E58FA9415B}" name="Miles, Services, Total"/>
    <tableColumn id="2" xr3:uid="{B900FE38-7D59-4991-BDC7-B31F8D8E3239}" name="2024" dataDxfId="151" dataCellStyle="Comma"/>
    <tableColumn id="3" xr3:uid="{422CFBB1-0DA7-4BD7-98FF-DFD179B6AAF8}" name="2025" dataDxfId="150" dataCellStyle="Comma"/>
    <tableColumn id="4" xr3:uid="{1A88CE6A-8DB2-4D1E-8D9F-0C0468D54B2F}" name="2026" dataDxfId="149" dataCellStyle="Comma"/>
    <tableColumn id="5" xr3:uid="{64518E3B-C1DA-4C5D-95D9-0BEA354A50BE}" name="2027" dataDxfId="148" dataCellStyle="Comma"/>
    <tableColumn id="6" xr3:uid="{17B928F1-B76B-487C-A09A-E995A6697F76}" name="2028" dataDxfId="147" dataCellStyle="Comma"/>
    <tableColumn id="7" xr3:uid="{85697B5E-20A4-4CFA-929E-D88D0780D12F}" name="2029" dataDxfId="146" dataCellStyle="Comma"/>
  </tableColumns>
  <tableStyleInfo name="TableStyleMedium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40F828CC-6FB4-4B26-82F2-FC919515744E}" name="UnitilEmissionsCalculations" displayName="UnitilEmissionsCalculations" ref="Q108:W130" totalsRowShown="0" headerRowDxfId="145" dataDxfId="143" headerRowBorderDxfId="144" tableBorderDxfId="142" dataCellStyle="Comma">
  <autoFilter ref="Q108:W130" xr:uid="{40F828CC-6FB4-4B26-82F2-FC919515744E}"/>
  <tableColumns count="7">
    <tableColumn id="1" xr3:uid="{C4AE4BFC-C28A-4591-A25F-494D07CCA171}" name="Miles, Services, Total"/>
    <tableColumn id="2" xr3:uid="{40E9CEA2-20B3-4499-8B9B-61AE3F3C0F41}" name="2024" dataDxfId="141" dataCellStyle="Comma"/>
    <tableColumn id="3" xr3:uid="{7DB84812-3E5C-42F0-A940-765D8F5E5651}" name="2025" dataDxfId="140" dataCellStyle="Comma"/>
    <tableColumn id="4" xr3:uid="{0E97C47F-FA0B-4393-B5F2-AB430445384A}" name="2026" dataDxfId="139" dataCellStyle="Comma"/>
    <tableColumn id="5" xr3:uid="{826B713B-AB63-458D-B7FC-EE6FDA59B8BC}" name="2027" dataDxfId="138" dataCellStyle="Comma"/>
    <tableColumn id="6" xr3:uid="{E9E1AFDD-3FF3-4CF0-B169-CAC5839DEF3F}" name="2028" dataDxfId="137" dataCellStyle="Comma"/>
    <tableColumn id="7" xr3:uid="{F9B57C81-8076-4530-8862-67FABF7D0345}" name="2029" dataDxfId="136" dataCellStyle="Comma"/>
  </tableColumns>
  <tableStyleInfo name="TableStyleMedium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19B2AFCC-D7B1-4AC9-ABC6-EA270411A494}" name="LibertyEmissionsCalculations" displayName="LibertyEmissionsCalculations" ref="Q134:W156" totalsRowShown="0" headerRowDxfId="135" dataDxfId="133" headerRowBorderDxfId="134" tableBorderDxfId="132" dataCellStyle="Comma">
  <autoFilter ref="Q134:W156" xr:uid="{19B2AFCC-D7B1-4AC9-ABC6-EA270411A494}"/>
  <tableColumns count="7">
    <tableColumn id="1" xr3:uid="{1F39F795-89EA-48A7-8656-EA5EB83DA928}" name="Miles, Services, Total"/>
    <tableColumn id="2" xr3:uid="{047568F4-010D-4030-9907-0F05017A1191}" name="2024" dataDxfId="131" dataCellStyle="Comma"/>
    <tableColumn id="3" xr3:uid="{3A9E870C-45A6-44ED-98A3-65A6F4273A97}" name="2025" dataDxfId="130" dataCellStyle="Comma"/>
    <tableColumn id="4" xr3:uid="{01A6DAC0-4B5D-4E5B-99F9-6198279E9BB8}" name="2026" dataDxfId="129" dataCellStyle="Comma"/>
    <tableColumn id="5" xr3:uid="{9242824E-37AE-4565-9B95-F5FA0BA015D3}" name="2027" dataDxfId="128" dataCellStyle="Comma"/>
    <tableColumn id="6" xr3:uid="{ECA7A8E6-95D5-494A-B8DD-936B501F0DD0}" name="2028" dataDxfId="127" dataCellStyle="Comma"/>
    <tableColumn id="7" xr3:uid="{5CF28DA7-289C-442B-B3AE-A931DF225104}" name="2029" dataDxfId="126" dataCellStyle="Comma"/>
  </tableColumns>
  <tableStyleInfo name="TableStyleMedium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C2037AB-999C-45C3-A05C-B1FB187933C3}" name="LibertyMilesMemoTable3" displayName="LibertyMilesMemoTable3" ref="A138:D148" totalsRowShown="0" headerRowDxfId="524" dataDxfId="522" headerRowBorderDxfId="523" tableBorderDxfId="521">
  <autoFilter ref="A138:D148" xr:uid="{EC2037AB-999C-45C3-A05C-B1FB187933C3}"/>
  <tableColumns count="4">
    <tableColumn id="1" xr3:uid="{B7B0B883-0953-45DC-9B99-F86613571A71}" name="Miles" dataDxfId="520"/>
    <tableColumn id="2" xr3:uid="{2BFB050D-7221-4EF0-848E-87247F7F9A08}" name="2024 reported miles" dataDxfId="519" dataCellStyle="Comma"/>
    <tableColumn id="3" xr3:uid="{770B8A74-C621-4292-94EF-905A5812311C}" name="2024 reported emissions in mt CO2e" dataDxfId="518" dataCellStyle="Comma"/>
    <tableColumn id="4" xr3:uid="{1D3FF46B-62C4-4C1B-A3B5-3934D972F230}" name="2024 reported emissions converted to mt CH4" dataDxfId="517" dataCellStyle="Comma"/>
  </tableColumns>
  <tableStyleInfo name="TableStyleMedium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DFB36C2B-9A08-4332-8CE6-72207C359660}" name="NSTAREmissionsCalculations" displayName="NSTAREmissionsCalculations" ref="Q160:W182" totalsRowShown="0" headerRowDxfId="125" dataDxfId="123" headerRowBorderDxfId="124" tableBorderDxfId="122" dataCellStyle="Comma">
  <autoFilter ref="Q160:W182" xr:uid="{DFB36C2B-9A08-4332-8CE6-72207C359660}"/>
  <tableColumns count="7">
    <tableColumn id="1" xr3:uid="{5E67C3E4-AE46-474D-8968-CFF476A02A37}" name="Miles, Services, Total"/>
    <tableColumn id="2" xr3:uid="{13724F15-D784-4143-86DD-B2952D4188DF}" name="2024" dataDxfId="121" dataCellStyle="Comma"/>
    <tableColumn id="3" xr3:uid="{8B6D6A19-D096-418B-B01C-29CC14EF3E46}" name="2025" dataDxfId="120" dataCellStyle="Comma"/>
    <tableColumn id="4" xr3:uid="{3C250DB0-5016-4966-8A93-5C55A3834712}" name="2026" dataDxfId="119" dataCellStyle="Comma"/>
    <tableColumn id="5" xr3:uid="{AF857FE1-E5FD-461B-83E7-EEF542BE7313}" name="2027" dataDxfId="118" dataCellStyle="Comma"/>
    <tableColumn id="6" xr3:uid="{A5EAB91B-C56A-4983-A9B6-B89B5E53CC0C}" name="2028" dataDxfId="117" dataCellStyle="Comma"/>
    <tableColumn id="7" xr3:uid="{70ECBD79-A795-49F7-92FA-B5E7A60C68F3}" name="2029" dataDxfId="116" dataCellStyle="Comma"/>
  </tableColumns>
  <tableStyleInfo name="TableStyleMedium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F731D9D0-8FAA-46D1-A3DA-9ACCC33B7965}" name="LibertyReductions" displayName="LibertyReductions" ref="I135:N139" totalsRowShown="0" headerRowDxfId="115" dataDxfId="114">
  <autoFilter ref="I135:N139" xr:uid="{F731D9D0-8FAA-46D1-A3DA-9ACCC33B7965}"/>
  <tableColumns count="6">
    <tableColumn id="1" xr3:uid="{F21520C8-80B6-4296-B9E0-98FAC113AD7A}" name="type" dataDxfId="113"/>
    <tableColumn id="2" xr3:uid="{6EB766F9-6BB9-4321-A26E-6A6AD9F3E8D8}" name="2025" dataDxfId="112"/>
    <tableColumn id="3" xr3:uid="{9FA25CC2-D0DE-4393-90BA-1CE08DBAB883}" name="2026" dataDxfId="111"/>
    <tableColumn id="4" xr3:uid="{ED909991-D234-4FDC-9AB9-DCA7BA2230DE}" name="2027" dataDxfId="110"/>
    <tableColumn id="5" xr3:uid="{A2743B29-AB5B-4411-9D45-81BD761ADCFE}" name="2028" dataDxfId="109"/>
    <tableColumn id="6" xr3:uid="{C2569D10-F744-4413-9F7F-6CCFE86556A0}" name="2029" dataDxfId="108"/>
  </tableColumns>
  <tableStyleInfo name="TableStyleMedium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80CBFACF-C1F3-4B66-B7B2-62A7850B2604}" name="LibertyProjectedGrowth" displayName="LibertyProjectedGrowth" ref="I142:N145" totalsRowShown="0" headerRowDxfId="107" dataDxfId="106">
  <autoFilter ref="I142:N145" xr:uid="{80CBFACF-C1F3-4B66-B7B2-62A7850B2604}"/>
  <tableColumns count="6">
    <tableColumn id="1" xr3:uid="{915F1CB4-B007-4C83-96CD-D00E0F047078}" name="type" dataDxfId="105"/>
    <tableColumn id="2" xr3:uid="{FF244785-97F1-4DBC-9A8B-6892E9E6575B}" name="2025" dataDxfId="104"/>
    <tableColumn id="3" xr3:uid="{13DE500A-D66F-4E5E-9C3C-6FE3BA641DA6}" name="2026" dataDxfId="103"/>
    <tableColumn id="4" xr3:uid="{4524F284-ED17-4D6C-9726-304D0523CBEE}" name="2027" dataDxfId="102"/>
    <tableColumn id="5" xr3:uid="{6FEC2885-DC0C-4AF5-B8BE-ECB95CDA22CA}" name="2028" dataDxfId="101"/>
    <tableColumn id="6" xr3:uid="{7EF0FD72-EC38-4009-8E37-62223289FA1E}" name="2029" dataDxfId="100"/>
  </tableColumns>
  <tableStyleInfo name="TableStyleMedium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E38F6C40-C5F9-4E6D-8B21-938457F44338}" name="NSTARReductions" displayName="NSTARReductions" ref="I161:N166" totalsRowShown="0" headerRowDxfId="99">
  <autoFilter ref="I161:N166" xr:uid="{E38F6C40-C5F9-4E6D-8B21-938457F44338}"/>
  <tableColumns count="6">
    <tableColumn id="1" xr3:uid="{DD9B8FE4-17D5-40BC-85F2-3D49D0C20866}" name="type" dataDxfId="98"/>
    <tableColumn id="2" xr3:uid="{6DEDE4DF-1BEA-416F-AA86-C3655970B43C}" name="2025"/>
    <tableColumn id="3" xr3:uid="{7F072CDB-755A-4056-B975-34F16F69FB63}" name="2026"/>
    <tableColumn id="4" xr3:uid="{D043D6D6-4B1B-4E8F-964F-A0AD838E8E14}" name="2027"/>
    <tableColumn id="5" xr3:uid="{D3CA1B46-BAD7-4D9C-82E8-C61BCF150036}" name="2028"/>
    <tableColumn id="6" xr3:uid="{354D77C8-F62A-45F3-B960-12338B94257C}" name="2029"/>
  </tableColumns>
  <tableStyleInfo name="TableStyleMedium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4F90ED2A-E44D-44CC-AC9C-4C680BDC8AA1}" name="NSTARProjectedGrowth" displayName="NSTARProjectedGrowth" ref="I178:N181" totalsRowShown="0" headerRowDxfId="97" dataDxfId="96">
  <autoFilter ref="I178:N181" xr:uid="{4F90ED2A-E44D-44CC-AC9C-4C680BDC8AA1}"/>
  <tableColumns count="6">
    <tableColumn id="1" xr3:uid="{A4E8FF85-B063-4D72-9A3A-C7931B03C663}" name="type" dataDxfId="95"/>
    <tableColumn id="2" xr3:uid="{90D60907-E5A6-4D47-A253-568D8940AB91}" name="2025" dataDxfId="94"/>
    <tableColumn id="3" xr3:uid="{F0AE5BF0-05CC-434C-87F7-C4131F956A4C}" name="2026" dataDxfId="93"/>
    <tableColumn id="4" xr3:uid="{59800624-3860-4F67-B055-698CD6DD7B4C}" name="2027" dataDxfId="92"/>
    <tableColumn id="5" xr3:uid="{0116E934-BDD7-4521-9D94-835E670FFC3F}" name="2028" dataDxfId="91"/>
    <tableColumn id="6" xr3:uid="{954EE5F5-6C72-42E5-A71E-7A0B50D42982}" name="2029" dataDxfId="90"/>
  </tableColumns>
  <tableStyleInfo name="TableStyleMedium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7E240A58-C377-4F1C-B7DA-7A09591C92C8}" name="NSTAR5YearMileReductions" displayName="NSTAR5YearMileReductions" ref="I170:L175" totalsRowShown="0" headerRowDxfId="89" dataDxfId="88">
  <autoFilter ref="I170:L175" xr:uid="{7E240A58-C377-4F1C-B7DA-7A09591C92C8}"/>
  <tableColumns count="4">
    <tableColumn id="1" xr3:uid="{F01122F4-FE2F-4777-AE84-B7654B1ADC9A}" name="Years" dataDxfId="87"/>
    <tableColumn id="2" xr3:uid="{A9124F26-ADA6-4B5C-A23C-2DC8B001522C}" name="total miles" dataDxfId="86"/>
    <tableColumn id="3" xr3:uid="{ADB7CB86-9179-408E-8906-5ABD950301D9}" name="cast iron" dataDxfId="85"/>
    <tableColumn id="4" xr3:uid="{A7D32F1E-19D3-47B3-B57D-586FCE1C664C}" name="steel" dataDxfId="84"/>
  </tableColumns>
  <tableStyleInfo name="TableStyleMedium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E0E9F22F-9BA1-4F03-AB0D-16627BCA9E09}" name="NSTARAverageMilePerYearReductions" displayName="NSTARAverageMilePerYearReductions" ref="M170:O174" totalsRowShown="0" headerRowDxfId="83" dataDxfId="82">
  <autoFilter ref="M170:O174" xr:uid="{E0E9F22F-9BA1-4F03-AB0D-16627BCA9E09}"/>
  <tableColumns count="3">
    <tableColumn id="1" xr3:uid="{2294D190-A831-4D9E-8352-6D0EBCBFF964}" name="miles/year" dataDxfId="81">
      <calculatedColumnFormula>225/5</calculatedColumnFormula>
    </tableColumn>
    <tableColumn id="2" xr3:uid="{91D9DBAE-F088-428D-9779-B0E8CE6BC89D}" name="cast iron/year" dataDxfId="80">
      <calculatedColumnFormula>73/5</calculatedColumnFormula>
    </tableColumn>
    <tableColumn id="3" xr3:uid="{E8467AD6-FAE6-4980-8170-BA8E51288763}" name="steel/year" dataDxfId="79">
      <calculatedColumnFormula>152/5</calculatedColumnFormula>
    </tableColumn>
  </tableColumns>
  <tableStyleInfo name="TableStyleMedium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A148C6C6-3068-4350-8B4F-60531E166402}" name="UnitilReductions" displayName="UnitilReductions" ref="I109:N116" totalsRowShown="0" headerRowDxfId="78" headerRowBorderDxfId="77" tableBorderDxfId="76">
  <autoFilter ref="I109:N116" xr:uid="{A148C6C6-3068-4350-8B4F-60531E166402}"/>
  <tableColumns count="6">
    <tableColumn id="1" xr3:uid="{C99B39A0-4285-4645-937D-F9DC1E60825B}" name="type" dataDxfId="75"/>
    <tableColumn id="2" xr3:uid="{95613396-B845-47B2-A1FD-FDF19FFAE7E6}" name="2025"/>
    <tableColumn id="3" xr3:uid="{AD148664-7C98-44DD-ABB0-75BB7F06F2D5}" name="2026"/>
    <tableColumn id="4" xr3:uid="{E4ECD391-35D5-43ED-A91E-80EEA161DC8A}" name="2027"/>
    <tableColumn id="5" xr3:uid="{EFB76CD1-C31C-4E0F-8797-CB57A76E52EB}" name="2028"/>
    <tableColumn id="6" xr3:uid="{65C37EC2-2581-409F-BC30-A1A81E050286}" name="2029"/>
  </tableColumns>
  <tableStyleInfo name="TableStyleMedium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C9655887-50C1-4A6C-B2E4-8442514688EC}" name="UnitilProjectedGrowth" displayName="UnitilProjectedGrowth" ref="I119:N122" totalsRowShown="0" headerRowDxfId="74" dataDxfId="72" headerRowBorderDxfId="73" tableBorderDxfId="71">
  <autoFilter ref="I119:N122" xr:uid="{C9655887-50C1-4A6C-B2E4-8442514688EC}"/>
  <tableColumns count="6">
    <tableColumn id="1" xr3:uid="{0B889E00-A20F-472E-AA43-2192E3791C88}" name="type" dataDxfId="70"/>
    <tableColumn id="2" xr3:uid="{20D05434-749C-4817-8493-D9CD8D36871D}" name="2025" dataDxfId="69"/>
    <tableColumn id="3" xr3:uid="{A9172142-33DA-44FE-B983-FDDF9DE54E4C}" name="2026" dataDxfId="68"/>
    <tableColumn id="4" xr3:uid="{5D83EC11-9FF0-4AA0-8731-1B5C968D7A36}" name="2027" dataDxfId="67"/>
    <tableColumn id="5" xr3:uid="{5CC550DE-55AB-4B26-A87F-58A98F0F110C}" name="2028" dataDxfId="66"/>
    <tableColumn id="6" xr3:uid="{D7CF0C58-9464-47F2-890F-29EDE44BD46D}" name="2029" dataDxfId="65"/>
  </tableColumns>
  <tableStyleInfo name="TableStyleMedium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E90F3F9B-5ABD-4070-BC0A-289E240D76AF}" name="BerkshireReductions" displayName="BerkshireReductions" ref="I83:N88" totalsRowShown="0" headerRowDxfId="64" headerRowBorderDxfId="63" tableBorderDxfId="62">
  <autoFilter ref="I83:N88" xr:uid="{E90F3F9B-5ABD-4070-BC0A-289E240D76AF}"/>
  <tableColumns count="6">
    <tableColumn id="1" xr3:uid="{69FD2F37-FBAE-48A1-A475-C20293E1524B}" name="type" dataDxfId="61"/>
    <tableColumn id="2" xr3:uid="{E656EFA7-A9F2-4ED4-8FEB-38EC091194CE}" name="2025" dataDxfId="60"/>
    <tableColumn id="3" xr3:uid="{96D64A37-D510-442D-B89D-E749A172949B}" name="2026" dataDxfId="59"/>
    <tableColumn id="4" xr3:uid="{A4F22BC9-3651-44B7-B6CC-DD267B25937F}" name="2027"/>
    <tableColumn id="5" xr3:uid="{8347A007-555A-4EA3-8AAA-BB3742A5D139}" name="2028" dataDxfId="58"/>
    <tableColumn id="6" xr3:uid="{997645B3-85DC-428A-9319-E356C2198D10}" name="2029" dataDxfId="57"/>
  </tableColumns>
  <tableStyleInfo name="TableStyleMedium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50D4E90-1C6B-4519-9301-1B2D79BF7B37}" name="UnitilServMemoTable3" displayName="UnitilServMemoTable3" ref="A123:D135" totalsRowShown="0" headerRowDxfId="516" dataDxfId="514" headerRowBorderDxfId="515" tableBorderDxfId="513">
  <autoFilter ref="A123:D135" xr:uid="{B50D4E90-1C6B-4519-9301-1B2D79BF7B37}"/>
  <tableColumns count="4">
    <tableColumn id="1" xr3:uid="{E51B8BA7-132F-4BD5-AC22-B9C9D4799B05}" name="Services" dataDxfId="512"/>
    <tableColumn id="2" xr3:uid="{E006BE01-7675-4DFA-8856-2F9CECD0964E}" name="2024 reported services" dataDxfId="511" dataCellStyle="Comma"/>
    <tableColumn id="3" xr3:uid="{841216D2-01D6-41E9-A199-95E833CE7F5A}" name="2024 reported emissions in mt CO2e" dataDxfId="510" dataCellStyle="Comma"/>
    <tableColumn id="4" xr3:uid="{F64DD732-9DD4-4CE2-95EE-1CF6B7DEC76F}" name="2024 reported emissions converted to mt CH4" dataDxfId="509" dataCellStyle="Comma"/>
  </tableColumns>
  <tableStyleInfo name="TableStyleMedium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5438D46F-2351-4BA3-816B-7024E9B0EC80}" name="BerkshireProjectedGrowth" displayName="BerkshireProjectedGrowth" ref="I92:N95" totalsRowShown="0" headerRowDxfId="56" dataDxfId="54" headerRowBorderDxfId="55" tableBorderDxfId="53">
  <autoFilter ref="I92:N95" xr:uid="{5438D46F-2351-4BA3-816B-7024E9B0EC80}"/>
  <tableColumns count="6">
    <tableColumn id="1" xr3:uid="{7ADE10C5-E50B-4755-B759-EFACC94D72AB}" name="type" dataDxfId="52"/>
    <tableColumn id="2" xr3:uid="{803D53FD-BBDD-44AA-9C93-F8A15CA8DACE}" name="2025" dataDxfId="51"/>
    <tableColumn id="3" xr3:uid="{E69F9A24-4569-4D8E-BF72-6AFE805C3A16}" name="2026" dataDxfId="50"/>
    <tableColumn id="4" xr3:uid="{4F01E7D4-CBEA-41C2-80D8-37E79791479B}" name="2027" dataDxfId="49"/>
    <tableColumn id="5" xr3:uid="{4C529560-BB2B-42CE-A396-126F5B1668EA}" name="2028" dataDxfId="48"/>
    <tableColumn id="6" xr3:uid="{A3B5C49D-B92A-4699-8E49-55FC6B374157}" name="2029" dataDxfId="47"/>
  </tableColumns>
  <tableStyleInfo name="TableStyleMedium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E8CA60B6-DD44-4458-9339-43B51ADD5B2D}" name="EGMAReductions" displayName="EGMAReductions" ref="I57:N62" totalsRowShown="0" headerRowDxfId="46">
  <autoFilter ref="I57:N62" xr:uid="{E8CA60B6-DD44-4458-9339-43B51ADD5B2D}"/>
  <tableColumns count="6">
    <tableColumn id="1" xr3:uid="{60548B23-21C4-4BBD-8F41-4A9667A90E37}" name="type" dataDxfId="45"/>
    <tableColumn id="2" xr3:uid="{769F873E-23CE-47B2-AE1B-8749D6BA6960}" name="2025"/>
    <tableColumn id="3" xr3:uid="{CC9C7758-D0E5-4F2B-8495-7AD722505A68}" name="2026"/>
    <tableColumn id="4" xr3:uid="{E9DB5BA3-6B97-4195-9F5E-8F2AFDD143DC}" name="2027"/>
    <tableColumn id="5" xr3:uid="{65195C61-42CA-460B-A2C1-0A4D12E06C01}" name="2028"/>
    <tableColumn id="6" xr3:uid="{2DE0F670-C39E-4D36-BB7E-3B8DCD712B8D}" name="2029"/>
  </tableColumns>
  <tableStyleInfo name="TableStyleMedium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6F6B4C78-82C1-450A-B0EA-6A42F1525BDE}" name="EGMA5YeaMilerReductions" displayName="EGMA5YeaMilerReductions" ref="I66:L70" totalsRowShown="0" headerRowDxfId="44" dataDxfId="43">
  <autoFilter ref="I66:L70" xr:uid="{6F6B4C78-82C1-450A-B0EA-6A42F1525BDE}"/>
  <tableColumns count="4">
    <tableColumn id="1" xr3:uid="{E995FD52-BFE0-4D3C-8F41-056CF1D0265B}" name="Years" dataDxfId="42"/>
    <tableColumn id="2" xr3:uid="{1A409B7F-6C89-4362-8C49-A88DC6D20004}" name="total miles" dataDxfId="41"/>
    <tableColumn id="3" xr3:uid="{B25A24D3-3D58-4C3E-9B09-5554A2BA8ACA}" name="cast iron" dataDxfId="40"/>
    <tableColumn id="4" xr3:uid="{983E33C1-7A75-4604-B1BA-B0F7B3FECAEA}" name="steel" dataDxfId="39"/>
  </tableColumns>
  <tableStyleInfo name="TableStyleMedium1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9F502FC3-70B0-4704-BAD5-657757F8CCE7}" name="EGMAAverageMilePerYearReductions" displayName="EGMAAverageMilePerYearReductions" ref="M66:O69" totalsRowShown="0" headerRowDxfId="38" dataDxfId="37">
  <autoFilter ref="M66:O69" xr:uid="{9F502FC3-70B0-4704-BAD5-657757F8CCE7}"/>
  <tableColumns count="3">
    <tableColumn id="1" xr3:uid="{51686A58-D685-431F-8B3B-636AAAA06B54}" name="miles/year" dataDxfId="36">
      <calculatedColumnFormula>J67/5</calculatedColumnFormula>
    </tableColumn>
    <tableColumn id="2" xr3:uid="{A1F3F043-D6F4-4235-80FF-F0A987039155}" name="cast iron/year" dataDxfId="35">
      <calculatedColumnFormula>K67/5</calculatedColumnFormula>
    </tableColumn>
    <tableColumn id="3" xr3:uid="{4E74BCE5-A335-409F-B477-634683C2F75F}" name="steel/year" dataDxfId="34">
      <calculatedColumnFormula>L67/5</calculatedColumnFormula>
    </tableColumn>
  </tableColumns>
  <tableStyleInfo name="TableStyleMedium1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FDBCB461-93AB-481F-A51C-66BA498FC261}" name="EGMAProjectedGrowth" displayName="EGMAProjectedGrowth" ref="I73:N76" totalsRowShown="0" headerRowDxfId="33" dataDxfId="31" headerRowBorderDxfId="32">
  <autoFilter ref="I73:N76" xr:uid="{FDBCB461-93AB-481F-A51C-66BA498FC261}"/>
  <tableColumns count="6">
    <tableColumn id="1" xr3:uid="{1E60BCDD-616C-416B-9104-9A0E35AD984F}" name="type" dataDxfId="30"/>
    <tableColumn id="2" xr3:uid="{7EF06727-87FF-46C6-9476-2EAA2BC39211}" name="2025" dataDxfId="29"/>
    <tableColumn id="3" xr3:uid="{882A1F0D-65BB-42A8-96BE-A9CC78610784}" name="2026" dataDxfId="28"/>
    <tableColumn id="4" xr3:uid="{95E94296-D67B-42A5-8015-9693A9BC899D}" name="2027" dataDxfId="27"/>
    <tableColumn id="5" xr3:uid="{920BACCD-3E89-4011-B922-DF0793FA7F44}" name="2028" dataDxfId="26"/>
    <tableColumn id="6" xr3:uid="{771208B5-8754-490D-8597-1714C689CE26}" name="2029" dataDxfId="25"/>
  </tableColumns>
  <tableStyleInfo name="TableStyleMedium1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EB9496F2-A50F-4633-B7BA-125AF0A03116}" name="NGridProjectedGrowth" displayName="NGridProjectedGrowth" ref="I49:N52" totalsRowShown="0" headerRowDxfId="24" dataDxfId="22" headerRowBorderDxfId="23" tableBorderDxfId="21">
  <autoFilter ref="I49:N52" xr:uid="{EB9496F2-A50F-4633-B7BA-125AF0A03116}"/>
  <tableColumns count="6">
    <tableColumn id="1" xr3:uid="{E7B8BC4E-FD36-4AA1-9780-879309F8C2B0}" name="type"/>
    <tableColumn id="2" xr3:uid="{44A5492C-8AF1-4C51-B735-F3AC1A49496D}" name="2025" dataDxfId="20"/>
    <tableColumn id="3" xr3:uid="{CEFB87DB-4322-4C29-8C20-F979EB4B2C66}" name="2026" dataDxfId="19"/>
    <tableColumn id="4" xr3:uid="{032189E3-6819-4837-8D50-AB9C4EA6E8C8}" name="2027" dataDxfId="18"/>
    <tableColumn id="5" xr3:uid="{31581508-6C0D-46E7-86E4-9C28CB66A4C7}" name="2028" dataDxfId="17"/>
    <tableColumn id="6" xr3:uid="{EA16FFF5-355C-47B7-8C55-536EB64C11FC}" name="2029" dataDxfId="16"/>
  </tableColumns>
  <tableStyleInfo name="TableStyleMedium1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60959B1A-ADEA-4C05-B496-894F23D3E7D5}" name="NGridReductions" displayName="NGridReductions" ref="I29:N33" totalsRowShown="0" headerRowDxfId="15" dataDxfId="13" headerRowBorderDxfId="14" tableBorderDxfId="12">
  <autoFilter ref="I29:N33" xr:uid="{60959B1A-ADEA-4C05-B496-894F23D3E7D5}"/>
  <tableColumns count="6">
    <tableColumn id="1" xr3:uid="{815AFBA5-EF4F-4550-AFEF-23694BE7D907}" name="type" dataDxfId="11"/>
    <tableColumn id="2" xr3:uid="{3E175F04-574A-45FB-BFA6-ECD7FE9406C4}" name="2025"/>
    <tableColumn id="3" xr3:uid="{CB34EC50-2651-419D-9CAA-55D864BDE7A9}" name="2026" dataDxfId="10"/>
    <tableColumn id="4" xr3:uid="{ED0C0F91-4A2F-450F-A367-9904F7EF694A}" name="2027" dataDxfId="9"/>
    <tableColumn id="5" xr3:uid="{CECFAD5C-029B-4458-856A-5C3ED880EB6D}" name="2028" dataDxfId="8"/>
    <tableColumn id="6" xr3:uid="{81380D63-85D3-4C14-9E59-2013D34E9F6F}" name="2029"/>
  </tableColumns>
  <tableStyleInfo name="TableStyleMedium1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373DD739-2156-4A2B-986D-60E8A03EFDBE}" name="NGridCalculationAverageServiceReduction" displayName="NGridCalculationAverageServiceReduction" ref="I39:N46" totalsRowShown="0" headerRowDxfId="7" dataDxfId="6">
  <autoFilter ref="I39:N46" xr:uid="{373DD739-2156-4A2B-986D-60E8A03EFDBE}"/>
  <tableColumns count="6">
    <tableColumn id="1" xr3:uid="{C918C7A0-67B5-4CBF-A129-325A3BDE1DAC}" name="material type" dataDxfId="5"/>
    <tableColumn id="2" xr3:uid="{6693A55A-05C8-42D4-AFA3-95F3705D7691}" name="2021" dataDxfId="4"/>
    <tableColumn id="3" xr3:uid="{33D421C4-E03D-42D8-8C45-1EB521E5E755}" name="2022" dataDxfId="3"/>
    <tableColumn id="4" xr3:uid="{284A87A9-3B87-45B9-A5D2-F7912424F923}" name="2023" dataDxfId="2"/>
    <tableColumn id="5" xr3:uid="{9E6EB863-E717-44D9-83A3-398AF4B3EB59}" name="2024" dataDxfId="1"/>
    <tableColumn id="6" xr3:uid="{1C9805D9-D8A7-4645-9C85-83D71E5868FA}" name="Average" dataDxfId="0"/>
  </tableColumns>
  <tableStyleInfo name="TableStyleMedium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C646D96D-F1E1-4E67-995F-7D2DD0986836}" name="UnitilMilesMemoTable3" displayName="UnitilMilesMemoTable3" ref="A112:D122" totalsRowShown="0" headerRowDxfId="508" dataDxfId="506" headerRowBorderDxfId="507" tableBorderDxfId="505">
  <autoFilter ref="A112:D122" xr:uid="{C646D96D-F1E1-4E67-995F-7D2DD0986836}"/>
  <tableColumns count="4">
    <tableColumn id="1" xr3:uid="{69FA8A1B-1BB6-4FC0-AAB9-5F1200E98605}" name="Miles" dataDxfId="504"/>
    <tableColumn id="2" xr3:uid="{4AE7BDA0-9EAE-4202-9645-274C461D9AEC}" name="2024 reported miles" dataDxfId="503" dataCellStyle="Comma"/>
    <tableColumn id="3" xr3:uid="{03741F29-6F30-4B85-B369-34A801C9BC49}" name="2024 reported emissions in mt CO2e" dataDxfId="502" dataCellStyle="Comma"/>
    <tableColumn id="4" xr3:uid="{F397C9E6-0B5F-4B1E-9B1C-BF6F8D043489}" name="2024 reported emissions converted to mt CH4" dataDxfId="501" dataCellStyle="Comma"/>
  </tableColumns>
  <tableStyleInfo name="TableStyleMedium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77CB156-B312-4E01-8744-6BEA8FAE0280}" name="BerkServMemoTable3" displayName="BerkServMemoTable3" ref="A97:D109" totalsRowShown="0" headerRowDxfId="500" dataDxfId="498" headerRowBorderDxfId="499" tableBorderDxfId="497">
  <autoFilter ref="A97:D109" xr:uid="{977CB156-B312-4E01-8744-6BEA8FAE0280}"/>
  <tableColumns count="4">
    <tableColumn id="1" xr3:uid="{459185B1-6F57-44ED-8380-814C37A70C6B}" name="Services" dataDxfId="496"/>
    <tableColumn id="2" xr3:uid="{1BB05567-BDF7-4A45-9ED1-B4C55863FE31}" name="2024 reported services" dataDxfId="495" dataCellStyle="Comma"/>
    <tableColumn id="3" xr3:uid="{4A19003C-7AEF-4414-BFD1-2AEC7725C612}" name="2024 reported emissions in mt CO2e" dataDxfId="494" dataCellStyle="Comma"/>
    <tableColumn id="4" xr3:uid="{5F627B51-B76F-4B1C-A779-82F2CB146E1C}" name="2024 reported emissions converted to mt CH4" dataDxfId="493" dataCellStyle="Comma"/>
  </tableColumns>
  <tableStyleInfo name="TableStyleMedium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7B73A95E-6907-461A-A3E0-9F405D23A49D}" name="BerkMilesMemoTable3" displayName="BerkMilesMemoTable3" ref="A86:D96" totalsRowShown="0" headerRowDxfId="492" dataDxfId="490" headerRowBorderDxfId="491" tableBorderDxfId="489">
  <autoFilter ref="A86:D96" xr:uid="{7B73A95E-6907-461A-A3E0-9F405D23A49D}"/>
  <tableColumns count="4">
    <tableColumn id="1" xr3:uid="{47702D91-F358-4AA8-B474-6A3B905FFA9A}" name="Miles" dataDxfId="488"/>
    <tableColumn id="2" xr3:uid="{952DF3F9-3A25-4C94-B63B-7159AD94F761}" name="2024 reported miles" dataDxfId="487" dataCellStyle="Comma"/>
    <tableColumn id="3" xr3:uid="{9F22AC12-3B80-47A2-856F-23C9E7BBA4D5}" name="2024 reported emissions in mt CO2e" dataDxfId="486" dataCellStyle="Comma"/>
    <tableColumn id="4" xr3:uid="{44FD1D22-81E5-4C86-AE35-19120900219A}" name="2024 reported emissions converted to mt CH4" dataDxfId="485" dataCellStyle="Comma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26.xml"/><Relationship Id="rId18" Type="http://schemas.openxmlformats.org/officeDocument/2006/relationships/table" Target="../tables/table31.xml"/><Relationship Id="rId26" Type="http://schemas.openxmlformats.org/officeDocument/2006/relationships/table" Target="../tables/table39.xml"/><Relationship Id="rId39" Type="http://schemas.openxmlformats.org/officeDocument/2006/relationships/table" Target="../tables/table52.xml"/><Relationship Id="rId21" Type="http://schemas.openxmlformats.org/officeDocument/2006/relationships/table" Target="../tables/table34.xml"/><Relationship Id="rId34" Type="http://schemas.openxmlformats.org/officeDocument/2006/relationships/table" Target="../tables/table47.xml"/><Relationship Id="rId42" Type="http://schemas.openxmlformats.org/officeDocument/2006/relationships/table" Target="../tables/table55.xml"/><Relationship Id="rId47" Type="http://schemas.openxmlformats.org/officeDocument/2006/relationships/table" Target="../tables/table60.xml"/><Relationship Id="rId50" Type="http://schemas.openxmlformats.org/officeDocument/2006/relationships/table" Target="../tables/table63.xml"/><Relationship Id="rId7" Type="http://schemas.openxmlformats.org/officeDocument/2006/relationships/table" Target="../tables/table20.xml"/><Relationship Id="rId2" Type="http://schemas.openxmlformats.org/officeDocument/2006/relationships/printerSettings" Target="../printerSettings/printerSettings4.bin"/><Relationship Id="rId16" Type="http://schemas.openxmlformats.org/officeDocument/2006/relationships/table" Target="../tables/table29.xml"/><Relationship Id="rId29" Type="http://schemas.openxmlformats.org/officeDocument/2006/relationships/table" Target="../tables/table42.xml"/><Relationship Id="rId11" Type="http://schemas.openxmlformats.org/officeDocument/2006/relationships/table" Target="../tables/table24.xml"/><Relationship Id="rId24" Type="http://schemas.openxmlformats.org/officeDocument/2006/relationships/table" Target="../tables/table37.xml"/><Relationship Id="rId32" Type="http://schemas.openxmlformats.org/officeDocument/2006/relationships/table" Target="../tables/table45.xml"/><Relationship Id="rId37" Type="http://schemas.openxmlformats.org/officeDocument/2006/relationships/table" Target="../tables/table50.xml"/><Relationship Id="rId40" Type="http://schemas.openxmlformats.org/officeDocument/2006/relationships/table" Target="../tables/table53.xml"/><Relationship Id="rId45" Type="http://schemas.openxmlformats.org/officeDocument/2006/relationships/table" Target="../tables/table58.xml"/><Relationship Id="rId53" Type="http://schemas.openxmlformats.org/officeDocument/2006/relationships/table" Target="../tables/table66.xml"/><Relationship Id="rId5" Type="http://schemas.openxmlformats.org/officeDocument/2006/relationships/table" Target="../tables/table18.xml"/><Relationship Id="rId10" Type="http://schemas.openxmlformats.org/officeDocument/2006/relationships/table" Target="../tables/table23.xml"/><Relationship Id="rId19" Type="http://schemas.openxmlformats.org/officeDocument/2006/relationships/table" Target="../tables/table32.xml"/><Relationship Id="rId31" Type="http://schemas.openxmlformats.org/officeDocument/2006/relationships/table" Target="../tables/table44.xml"/><Relationship Id="rId44" Type="http://schemas.openxmlformats.org/officeDocument/2006/relationships/table" Target="../tables/table57.xml"/><Relationship Id="rId52" Type="http://schemas.openxmlformats.org/officeDocument/2006/relationships/table" Target="../tables/table65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Relationship Id="rId22" Type="http://schemas.openxmlformats.org/officeDocument/2006/relationships/table" Target="../tables/table35.xml"/><Relationship Id="rId27" Type="http://schemas.openxmlformats.org/officeDocument/2006/relationships/table" Target="../tables/table40.xml"/><Relationship Id="rId30" Type="http://schemas.openxmlformats.org/officeDocument/2006/relationships/table" Target="../tables/table43.xml"/><Relationship Id="rId35" Type="http://schemas.openxmlformats.org/officeDocument/2006/relationships/table" Target="../tables/table48.xml"/><Relationship Id="rId43" Type="http://schemas.openxmlformats.org/officeDocument/2006/relationships/table" Target="../tables/table56.xml"/><Relationship Id="rId48" Type="http://schemas.openxmlformats.org/officeDocument/2006/relationships/table" Target="../tables/table61.xml"/><Relationship Id="rId8" Type="http://schemas.openxmlformats.org/officeDocument/2006/relationships/table" Target="../tables/table21.xml"/><Relationship Id="rId51" Type="http://schemas.openxmlformats.org/officeDocument/2006/relationships/table" Target="../tables/table64.xml"/><Relationship Id="rId3" Type="http://schemas.openxmlformats.org/officeDocument/2006/relationships/table" Target="../tables/table16.xml"/><Relationship Id="rId12" Type="http://schemas.openxmlformats.org/officeDocument/2006/relationships/table" Target="../tables/table25.xml"/><Relationship Id="rId17" Type="http://schemas.openxmlformats.org/officeDocument/2006/relationships/table" Target="../tables/table30.xml"/><Relationship Id="rId25" Type="http://schemas.openxmlformats.org/officeDocument/2006/relationships/table" Target="../tables/table38.xml"/><Relationship Id="rId33" Type="http://schemas.openxmlformats.org/officeDocument/2006/relationships/table" Target="../tables/table46.xml"/><Relationship Id="rId38" Type="http://schemas.openxmlformats.org/officeDocument/2006/relationships/table" Target="../tables/table51.xml"/><Relationship Id="rId46" Type="http://schemas.openxmlformats.org/officeDocument/2006/relationships/table" Target="../tables/table59.xml"/><Relationship Id="rId20" Type="http://schemas.openxmlformats.org/officeDocument/2006/relationships/table" Target="../tables/table33.xml"/><Relationship Id="rId41" Type="http://schemas.openxmlformats.org/officeDocument/2006/relationships/table" Target="../tables/table54.xml"/><Relationship Id="rId54" Type="http://schemas.openxmlformats.org/officeDocument/2006/relationships/table" Target="../tables/table67.xml"/><Relationship Id="rId1" Type="http://schemas.openxmlformats.org/officeDocument/2006/relationships/hyperlink" Target="https://www.epa.gov/ghgemissions/natural-gas-and-petroleum-systems-ghg-inventory-additional-information-1990-2022-ghg" TargetMode="External"/><Relationship Id="rId6" Type="http://schemas.openxmlformats.org/officeDocument/2006/relationships/table" Target="../tables/table19.xml"/><Relationship Id="rId15" Type="http://schemas.openxmlformats.org/officeDocument/2006/relationships/table" Target="../tables/table28.xml"/><Relationship Id="rId23" Type="http://schemas.openxmlformats.org/officeDocument/2006/relationships/table" Target="../tables/table36.xml"/><Relationship Id="rId28" Type="http://schemas.openxmlformats.org/officeDocument/2006/relationships/table" Target="../tables/table41.xml"/><Relationship Id="rId36" Type="http://schemas.openxmlformats.org/officeDocument/2006/relationships/table" Target="../tables/table49.xml"/><Relationship Id="rId49" Type="http://schemas.openxmlformats.org/officeDocument/2006/relationships/table" Target="../tables/table6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389BE-2696-4446-B48C-B4E8A5174299}">
  <dimension ref="A1:A7"/>
  <sheetViews>
    <sheetView tabSelected="1" workbookViewId="0"/>
  </sheetViews>
  <sheetFormatPr defaultRowHeight="15" x14ac:dyDescent="0.25"/>
  <sheetData>
    <row r="1" spans="1:1" ht="18.75" x14ac:dyDescent="0.3">
      <c r="A1" s="3" t="s">
        <v>0</v>
      </c>
    </row>
    <row r="2" spans="1:1" ht="15.75" x14ac:dyDescent="0.25">
      <c r="A2" s="2" t="s">
        <v>190</v>
      </c>
    </row>
    <row r="3" spans="1:1" ht="15.75" x14ac:dyDescent="0.25">
      <c r="A3" s="2" t="s">
        <v>1</v>
      </c>
    </row>
    <row r="4" spans="1:1" ht="15.75" x14ac:dyDescent="0.25">
      <c r="A4" s="2" t="s">
        <v>2</v>
      </c>
    </row>
    <row r="5" spans="1:1" ht="15.75" x14ac:dyDescent="0.25">
      <c r="A5" s="2" t="s">
        <v>3</v>
      </c>
    </row>
    <row r="6" spans="1:1" ht="15.75" x14ac:dyDescent="0.25">
      <c r="A6" s="2" t="s">
        <v>201</v>
      </c>
    </row>
    <row r="7" spans="1:1" ht="15.75" x14ac:dyDescent="0.25">
      <c r="A7" s="2" t="s">
        <v>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94"/>
  <sheetViews>
    <sheetView zoomScaleNormal="100" workbookViewId="0"/>
  </sheetViews>
  <sheetFormatPr defaultColWidth="9.140625" defaultRowHeight="15" x14ac:dyDescent="0.25"/>
  <cols>
    <col min="1" max="1" width="45.140625" style="1" customWidth="1"/>
    <col min="2" max="4" width="46.7109375" style="1" customWidth="1"/>
    <col min="5" max="5" width="5.28515625" style="1" customWidth="1"/>
    <col min="6" max="6" width="19.85546875" style="1" customWidth="1"/>
    <col min="7" max="7" width="15.85546875" style="1" customWidth="1"/>
    <col min="8" max="8" width="14.7109375" style="1" customWidth="1"/>
    <col min="9" max="9" width="14.140625" style="1" customWidth="1"/>
    <col min="10" max="16384" width="9.140625" style="1"/>
  </cols>
  <sheetData>
    <row r="1" spans="1:16" ht="21" x14ac:dyDescent="0.25">
      <c r="A1" s="4" t="s">
        <v>5</v>
      </c>
    </row>
    <row r="2" spans="1:16" ht="24" x14ac:dyDescent="0.25">
      <c r="A2" s="4" t="s">
        <v>6</v>
      </c>
    </row>
    <row r="3" spans="1:16" ht="24" x14ac:dyDescent="0.25">
      <c r="A3" s="4" t="s">
        <v>7</v>
      </c>
    </row>
    <row r="4" spans="1:16" s="2" customFormat="1" ht="15.75" x14ac:dyDescent="0.25">
      <c r="A4" s="17"/>
    </row>
    <row r="5" spans="1:16" s="2" customFormat="1" ht="13.5" customHeight="1" x14ac:dyDescent="0.25">
      <c r="A5" s="18" t="s">
        <v>191</v>
      </c>
      <c r="B5" s="19"/>
      <c r="C5" s="19"/>
      <c r="E5" s="19"/>
    </row>
    <row r="6" spans="1:16" s="2" customFormat="1" ht="31.5" x14ac:dyDescent="0.25">
      <c r="A6" s="64" t="s">
        <v>8</v>
      </c>
      <c r="B6" s="65" t="s">
        <v>9</v>
      </c>
      <c r="C6" s="65" t="s">
        <v>10</v>
      </c>
      <c r="D6" s="66" t="s">
        <v>11</v>
      </c>
      <c r="P6" s="20"/>
    </row>
    <row r="7" spans="1:16" s="2" customFormat="1" ht="15.75" x14ac:dyDescent="0.25">
      <c r="A7" s="59" t="s">
        <v>12</v>
      </c>
      <c r="B7" s="22">
        <v>94532</v>
      </c>
      <c r="C7" s="23">
        <f>C56</f>
        <v>96437.03</v>
      </c>
      <c r="D7" s="47">
        <f>D56</f>
        <v>3857.27</v>
      </c>
      <c r="P7" s="21"/>
    </row>
    <row r="8" spans="1:16" s="2" customFormat="1" ht="15.75" x14ac:dyDescent="0.25">
      <c r="A8" s="2" t="s">
        <v>13</v>
      </c>
      <c r="B8" s="24">
        <v>18567</v>
      </c>
      <c r="C8" s="25">
        <f>C82</f>
        <v>23110.93</v>
      </c>
      <c r="D8" s="47">
        <f>D82</f>
        <v>924.2700000000001</v>
      </c>
      <c r="P8" s="21"/>
    </row>
    <row r="9" spans="1:16" s="2" customFormat="1" ht="15.75" x14ac:dyDescent="0.25">
      <c r="A9" s="2" t="s">
        <v>14</v>
      </c>
      <c r="B9" s="24">
        <v>2605</v>
      </c>
      <c r="C9" s="25">
        <f>C108</f>
        <v>2699.42</v>
      </c>
      <c r="D9" s="47">
        <f>D108</f>
        <v>107.94</v>
      </c>
      <c r="P9" s="21"/>
    </row>
    <row r="10" spans="1:16" s="2" customFormat="1" ht="15.75" x14ac:dyDescent="0.25">
      <c r="A10" s="2" t="s">
        <v>15</v>
      </c>
      <c r="B10" s="24">
        <v>1477</v>
      </c>
      <c r="C10" s="25">
        <f>C134</f>
        <v>1223.3800000000001</v>
      </c>
      <c r="D10" s="47">
        <f>D134</f>
        <v>48.949999999999996</v>
      </c>
      <c r="J10" s="20"/>
      <c r="P10" s="21"/>
    </row>
    <row r="11" spans="1:16" s="2" customFormat="1" ht="14.1" customHeight="1" x14ac:dyDescent="0.25">
      <c r="A11" s="2" t="s">
        <v>16</v>
      </c>
      <c r="B11" s="24">
        <v>3877</v>
      </c>
      <c r="C11" s="24">
        <f>C160</f>
        <v>3723.4700000000003</v>
      </c>
      <c r="D11" s="60">
        <f>D160</f>
        <v>148.93</v>
      </c>
      <c r="J11" s="20"/>
      <c r="P11" s="21"/>
    </row>
    <row r="12" spans="1:16" s="2" customFormat="1" ht="15.75" x14ac:dyDescent="0.25">
      <c r="A12" s="2" t="s">
        <v>17</v>
      </c>
      <c r="B12" s="26">
        <v>18756</v>
      </c>
      <c r="C12" s="27">
        <f>C186</f>
        <v>20025.68</v>
      </c>
      <c r="D12" s="47">
        <f>D186</f>
        <v>800.93000000000006</v>
      </c>
      <c r="J12" s="20"/>
      <c r="P12" s="21"/>
    </row>
    <row r="13" spans="1:16" s="2" customFormat="1" ht="17.100000000000001" customHeight="1" x14ac:dyDescent="0.25">
      <c r="A13" s="61" t="s">
        <v>18</v>
      </c>
      <c r="B13" s="62">
        <f>SUM(B7:B12)</f>
        <v>139814</v>
      </c>
      <c r="C13" s="23">
        <f>SUM(C7:C12)</f>
        <v>147219.91</v>
      </c>
      <c r="D13" s="63">
        <f>SUM(D7:D12)</f>
        <v>5888.29</v>
      </c>
      <c r="P13" s="21"/>
    </row>
    <row r="14" spans="1:16" s="2" customFormat="1" ht="17.100000000000001" customHeight="1" x14ac:dyDescent="0.25">
      <c r="A14" s="2" t="s">
        <v>203</v>
      </c>
      <c r="B14" s="24"/>
      <c r="C14" s="25"/>
      <c r="D14" s="47"/>
      <c r="P14" s="21"/>
    </row>
    <row r="15" spans="1:16" s="2" customFormat="1" ht="15.75" x14ac:dyDescent="0.25">
      <c r="D15" s="28"/>
      <c r="P15" s="21"/>
    </row>
    <row r="16" spans="1:16" s="2" customFormat="1" ht="15.75" x14ac:dyDescent="0.25">
      <c r="A16" s="18" t="s">
        <v>187</v>
      </c>
      <c r="P16" s="21"/>
    </row>
    <row r="17" spans="1:16" s="2" customFormat="1" ht="32.25" thickBot="1" x14ac:dyDescent="0.3">
      <c r="A17" s="29" t="s">
        <v>19</v>
      </c>
      <c r="B17" s="30" t="s">
        <v>188</v>
      </c>
      <c r="C17" s="31" t="s">
        <v>20</v>
      </c>
      <c r="F17" s="32"/>
      <c r="G17" s="33"/>
      <c r="H17" s="34"/>
      <c r="P17" s="21"/>
    </row>
    <row r="18" spans="1:16" s="2" customFormat="1" ht="15.75" x14ac:dyDescent="0.25">
      <c r="A18" s="35" t="s">
        <v>21</v>
      </c>
      <c r="B18" s="36" t="s">
        <v>22</v>
      </c>
      <c r="C18" s="37" t="s">
        <v>23</v>
      </c>
      <c r="F18" s="32"/>
      <c r="G18" s="33"/>
      <c r="H18" s="34"/>
      <c r="P18" s="21"/>
    </row>
    <row r="19" spans="1:16" s="2" customFormat="1" ht="15.75" x14ac:dyDescent="0.25">
      <c r="A19" s="32" t="s">
        <v>24</v>
      </c>
      <c r="B19" s="38">
        <v>28.663225000000001</v>
      </c>
      <c r="C19" s="39">
        <f>ROUND(B19/$B$30, 6)</f>
        <v>1.1465289999999999</v>
      </c>
      <c r="F19" s="32"/>
      <c r="G19" s="33"/>
      <c r="H19" s="34"/>
      <c r="P19" s="21"/>
    </row>
    <row r="20" spans="1:16" s="2" customFormat="1" ht="15.75" x14ac:dyDescent="0.25">
      <c r="A20" s="32" t="s">
        <v>25</v>
      </c>
      <c r="B20" s="40">
        <v>20.281977999999999</v>
      </c>
      <c r="C20" s="41">
        <f>ROUND(B20/$B$30, 6)</f>
        <v>0.81127899999999997</v>
      </c>
      <c r="F20" s="32"/>
      <c r="G20" s="33"/>
      <c r="H20" s="34"/>
      <c r="P20" s="21"/>
    </row>
    <row r="21" spans="1:16" s="2" customFormat="1" ht="15.75" x14ac:dyDescent="0.25">
      <c r="A21" s="32" t="s">
        <v>26</v>
      </c>
      <c r="B21" s="40">
        <v>1.804054</v>
      </c>
      <c r="C21" s="41">
        <f>ROUND(B21/$B$30, 6)</f>
        <v>7.2162000000000004E-2</v>
      </c>
      <c r="F21" s="32"/>
      <c r="G21" s="33"/>
      <c r="H21" s="34"/>
      <c r="P21" s="21"/>
    </row>
    <row r="22" spans="1:16" s="2" customFormat="1" ht="16.5" thickBot="1" x14ac:dyDescent="0.3">
      <c r="A22" s="32" t="s">
        <v>27</v>
      </c>
      <c r="B22" s="40">
        <v>0.215583</v>
      </c>
      <c r="C22" s="41">
        <f>ROUND(B22/$B$30, 6)</f>
        <v>8.6230000000000005E-3</v>
      </c>
      <c r="F22" s="32"/>
      <c r="G22" s="33"/>
      <c r="H22" s="34"/>
      <c r="P22" s="21"/>
    </row>
    <row r="23" spans="1:16" s="2" customFormat="1" ht="15.75" x14ac:dyDescent="0.25">
      <c r="A23" s="35" t="s">
        <v>28</v>
      </c>
      <c r="B23" s="36" t="s">
        <v>29</v>
      </c>
      <c r="C23" s="37" t="s">
        <v>30</v>
      </c>
      <c r="F23" s="32"/>
      <c r="G23" s="33"/>
      <c r="H23" s="34"/>
      <c r="P23" s="21"/>
    </row>
    <row r="24" spans="1:16" s="2" customFormat="1" ht="15.75" x14ac:dyDescent="0.25">
      <c r="A24" s="32" t="s">
        <v>25</v>
      </c>
      <c r="B24" s="40">
        <v>0.12958900000000001</v>
      </c>
      <c r="C24" s="41">
        <f>ROUND(B24/$B$30, 6)</f>
        <v>5.1840000000000002E-3</v>
      </c>
      <c r="F24" s="32"/>
      <c r="G24" s="33"/>
      <c r="H24" s="34"/>
      <c r="P24" s="21"/>
    </row>
    <row r="25" spans="1:16" s="2" customFormat="1" ht="15.75" x14ac:dyDescent="0.25">
      <c r="A25" s="32" t="s">
        <v>26</v>
      </c>
      <c r="B25" s="40">
        <v>5.5981999999999997E-2</v>
      </c>
      <c r="C25" s="41">
        <f>ROUND(B25/$B$30, 6)</f>
        <v>2.2390000000000001E-3</v>
      </c>
      <c r="F25" s="32"/>
      <c r="G25" s="33"/>
      <c r="H25" s="34"/>
      <c r="P25" s="21"/>
    </row>
    <row r="26" spans="1:16" s="2" customFormat="1" ht="15.75" x14ac:dyDescent="0.25">
      <c r="A26" s="32" t="s">
        <v>27</v>
      </c>
      <c r="B26" s="40">
        <v>5.1359999999999999E-3</v>
      </c>
      <c r="C26" s="41">
        <f>ROUND(B26/$B$30, 6)</f>
        <v>2.05E-4</v>
      </c>
      <c r="F26" s="32"/>
      <c r="G26" s="33"/>
      <c r="H26" s="34"/>
      <c r="P26" s="21"/>
    </row>
    <row r="27" spans="1:16" s="2" customFormat="1" ht="15.75" x14ac:dyDescent="0.25">
      <c r="A27" s="32" t="s">
        <v>31</v>
      </c>
      <c r="B27" s="40">
        <v>0.12192</v>
      </c>
      <c r="C27" s="41">
        <f>ROUND(B27/$B$30, 6)</f>
        <v>4.8770000000000003E-3</v>
      </c>
      <c r="F27" s="32"/>
      <c r="G27" s="33"/>
      <c r="H27" s="34"/>
      <c r="P27" s="21"/>
    </row>
    <row r="28" spans="1:16" s="2" customFormat="1" ht="15.75" x14ac:dyDescent="0.25">
      <c r="A28" s="32" t="s">
        <v>203</v>
      </c>
      <c r="B28" s="40"/>
      <c r="C28" s="41"/>
      <c r="F28" s="32"/>
      <c r="G28" s="33"/>
      <c r="H28" s="34"/>
      <c r="P28" s="21"/>
    </row>
    <row r="29" spans="1:16" s="2" customFormat="1" ht="15.75" x14ac:dyDescent="0.25">
      <c r="F29" s="32"/>
      <c r="G29" s="33"/>
      <c r="H29" s="34"/>
      <c r="P29" s="21"/>
    </row>
    <row r="30" spans="1:16" s="2" customFormat="1" ht="15.75" x14ac:dyDescent="0.25">
      <c r="A30" s="42" t="s">
        <v>189</v>
      </c>
      <c r="B30" s="67">
        <v>25</v>
      </c>
      <c r="F30" s="32"/>
      <c r="G30" s="33"/>
      <c r="H30" s="34"/>
      <c r="P30" s="21"/>
    </row>
    <row r="31" spans="1:16" s="2" customFormat="1" ht="15.75" x14ac:dyDescent="0.25">
      <c r="A31" s="2" t="s">
        <v>33</v>
      </c>
      <c r="F31" s="32"/>
      <c r="G31" s="33"/>
      <c r="H31" s="34"/>
      <c r="P31" s="21"/>
    </row>
    <row r="32" spans="1:16" s="2" customFormat="1" ht="15.75" x14ac:dyDescent="0.25">
      <c r="F32" s="32"/>
      <c r="G32" s="33"/>
      <c r="H32" s="34"/>
      <c r="P32" s="21"/>
    </row>
    <row r="33" spans="1:16" s="2" customFormat="1" ht="15.75" x14ac:dyDescent="0.25">
      <c r="A33" s="18" t="s">
        <v>192</v>
      </c>
      <c r="C33" s="43"/>
      <c r="D33" s="43"/>
      <c r="F33" s="44"/>
      <c r="G33" s="44"/>
      <c r="H33" s="44"/>
      <c r="J33" s="20"/>
      <c r="K33" s="20"/>
      <c r="L33" s="20"/>
      <c r="M33" s="20"/>
      <c r="N33" s="20"/>
      <c r="O33" s="20"/>
      <c r="P33" s="20"/>
    </row>
    <row r="34" spans="1:16" s="2" customFormat="1" ht="31.5" x14ac:dyDescent="0.25">
      <c r="A34" s="64" t="s">
        <v>34</v>
      </c>
      <c r="B34" s="65" t="s">
        <v>35</v>
      </c>
      <c r="C34" s="65" t="s">
        <v>36</v>
      </c>
      <c r="D34" s="66" t="s">
        <v>37</v>
      </c>
    </row>
    <row r="35" spans="1:16" s="2" customFormat="1" ht="15.75" x14ac:dyDescent="0.25">
      <c r="A35" s="2" t="s">
        <v>38</v>
      </c>
      <c r="B35" s="45">
        <v>542.90852642538039</v>
      </c>
      <c r="C35" s="46">
        <f>ROUND($B$35*$B$20,2)</f>
        <v>11011.26</v>
      </c>
      <c r="D35" s="47">
        <f>ROUND($B$35*$C$20,2)</f>
        <v>440.45</v>
      </c>
      <c r="H35" s="20"/>
    </row>
    <row r="36" spans="1:16" s="2" customFormat="1" ht="15.75" x14ac:dyDescent="0.25">
      <c r="A36" s="2" t="s">
        <v>39</v>
      </c>
      <c r="B36" s="45">
        <v>454.87542015573962</v>
      </c>
      <c r="C36" s="46">
        <f>ROUND(B36*$B$20,2)</f>
        <v>9225.77</v>
      </c>
      <c r="D36" s="47">
        <f>ROUND(B36*$C$20,2)</f>
        <v>369.03</v>
      </c>
    </row>
    <row r="37" spans="1:16" s="2" customFormat="1" ht="15.75" x14ac:dyDescent="0.25">
      <c r="A37" s="2" t="s">
        <v>40</v>
      </c>
      <c r="B37" s="45">
        <v>0</v>
      </c>
      <c r="C37" s="46">
        <f>ROUND(B37*$B$21,0)</f>
        <v>0</v>
      </c>
      <c r="D37" s="47">
        <f>ROUND(B37*$C$21,2)</f>
        <v>0</v>
      </c>
    </row>
    <row r="38" spans="1:16" s="2" customFormat="1" ht="15.75" x14ac:dyDescent="0.25">
      <c r="A38" s="2" t="s">
        <v>41</v>
      </c>
      <c r="B38" s="45">
        <v>2378.1249157364437</v>
      </c>
      <c r="C38" s="46">
        <f>ROUND(B38*$B$21,0)</f>
        <v>4290</v>
      </c>
      <c r="D38" s="47">
        <f>ROUND(B38*$C$21,2)</f>
        <v>171.61</v>
      </c>
    </row>
    <row r="39" spans="1:16" s="2" customFormat="1" ht="15.75" x14ac:dyDescent="0.25">
      <c r="A39" s="2" t="s">
        <v>42</v>
      </c>
      <c r="B39" s="45">
        <v>6426.8297807367089</v>
      </c>
      <c r="C39" s="46">
        <f>ROUND(B39*$B$22,0)</f>
        <v>1386</v>
      </c>
      <c r="D39" s="47">
        <f>ROUND(B39*$C$22,2)</f>
        <v>55.42</v>
      </c>
    </row>
    <row r="40" spans="1:16" s="2" customFormat="1" ht="15.75" x14ac:dyDescent="0.25">
      <c r="A40" s="2" t="s">
        <v>43</v>
      </c>
      <c r="B40" s="45">
        <v>1426.5265452457179</v>
      </c>
      <c r="C40" s="46">
        <f>ROUND(B40*$B$19,0)</f>
        <v>40889</v>
      </c>
      <c r="D40" s="47">
        <f>ROUND(B40*$C$19,2)</f>
        <v>1635.55</v>
      </c>
    </row>
    <row r="41" spans="1:16" s="2" customFormat="1" ht="15.75" x14ac:dyDescent="0.25">
      <c r="A41" s="2" t="s">
        <v>44</v>
      </c>
      <c r="B41" s="45">
        <v>0</v>
      </c>
      <c r="C41" s="46">
        <f>ROUND(B41*$B$19,0)</f>
        <v>0</v>
      </c>
      <c r="D41" s="47">
        <f>ROUND(B41*$C$19,2)</f>
        <v>0</v>
      </c>
    </row>
    <row r="42" spans="1:16" s="2" customFormat="1" ht="15.75" x14ac:dyDescent="0.25">
      <c r="A42" s="2" t="s">
        <v>45</v>
      </c>
      <c r="B42" s="45">
        <v>1.6856060606060607E-2</v>
      </c>
      <c r="C42" s="46">
        <f>ROUND(B42*$B$19,0)</f>
        <v>0</v>
      </c>
      <c r="D42" s="47">
        <f>ROUND(B42*$C$19,0)</f>
        <v>0</v>
      </c>
    </row>
    <row r="43" spans="1:16" s="2" customFormat="1" ht="15.75" x14ac:dyDescent="0.25">
      <c r="A43" s="2" t="s">
        <v>46</v>
      </c>
      <c r="B43" s="45">
        <v>0.3563409090909091</v>
      </c>
      <c r="C43" s="46">
        <f>ROUND(B43*$B$20,0)</f>
        <v>7</v>
      </c>
      <c r="D43" s="47">
        <f>ROUND(B43*$C$20,2)</f>
        <v>0.28999999999999998</v>
      </c>
    </row>
    <row r="44" spans="1:16" s="2" customFormat="1" ht="15.75" x14ac:dyDescent="0.25">
      <c r="A44" s="2" t="s">
        <v>47</v>
      </c>
      <c r="B44" s="45">
        <f>SUM(B35:B43)</f>
        <v>11229.638385269685</v>
      </c>
      <c r="C44" s="46">
        <f>SUM(C35:C43)</f>
        <v>66809.03</v>
      </c>
      <c r="D44" s="47">
        <f t="shared" ref="D44" si="0">SUM(D35:D43)</f>
        <v>2672.35</v>
      </c>
    </row>
    <row r="45" spans="1:16" s="2" customFormat="1" ht="27.95" customHeight="1" x14ac:dyDescent="0.25">
      <c r="A45" s="64" t="s">
        <v>48</v>
      </c>
      <c r="B45" s="65" t="s">
        <v>49</v>
      </c>
      <c r="C45" s="65" t="s">
        <v>36</v>
      </c>
      <c r="D45" s="66" t="s">
        <v>37</v>
      </c>
    </row>
    <row r="46" spans="1:16" s="2" customFormat="1" ht="15" customHeight="1" x14ac:dyDescent="0.25">
      <c r="A46" s="2" t="s">
        <v>38</v>
      </c>
      <c r="B46" s="48">
        <v>66762</v>
      </c>
      <c r="C46" s="46">
        <f>ROUND(B46*$B$24,0)</f>
        <v>8652</v>
      </c>
      <c r="D46" s="47">
        <f>ROUND(B46*$C$24,2)</f>
        <v>346.09</v>
      </c>
    </row>
    <row r="47" spans="1:16" s="2" customFormat="1" ht="15.75" x14ac:dyDescent="0.25">
      <c r="A47" s="2" t="s">
        <v>39</v>
      </c>
      <c r="B47" s="48">
        <v>21273</v>
      </c>
      <c r="C47" s="46">
        <f>ROUND(B47*$B$24,0)</f>
        <v>2757</v>
      </c>
      <c r="D47" s="47">
        <f>ROUND(B47*$C$24,2)</f>
        <v>110.28</v>
      </c>
    </row>
    <row r="48" spans="1:16" s="2" customFormat="1" ht="15.75" x14ac:dyDescent="0.25">
      <c r="A48" s="2" t="s">
        <v>40</v>
      </c>
      <c r="B48" s="48">
        <v>0</v>
      </c>
      <c r="C48" s="46">
        <f>ROUND(B48*$B$25,0)</f>
        <v>0</v>
      </c>
      <c r="D48" s="47">
        <f>ROUND(B48*$C$25,2)</f>
        <v>0</v>
      </c>
    </row>
    <row r="49" spans="1:4" s="2" customFormat="1" ht="15.75" x14ac:dyDescent="0.25">
      <c r="A49" s="2" t="s">
        <v>41</v>
      </c>
      <c r="B49" s="48">
        <v>63919</v>
      </c>
      <c r="C49" s="46">
        <f>ROUND(B49*$B$25,0)</f>
        <v>3578</v>
      </c>
      <c r="D49" s="47">
        <f>ROUND(B49*$C$25,2)</f>
        <v>143.11000000000001</v>
      </c>
    </row>
    <row r="50" spans="1:4" s="2" customFormat="1" ht="15.75" x14ac:dyDescent="0.25">
      <c r="A50" s="2" t="s">
        <v>42</v>
      </c>
      <c r="B50" s="48">
        <v>526476</v>
      </c>
      <c r="C50" s="46">
        <f>ROUND(B50*$B$26,0)</f>
        <v>2704</v>
      </c>
      <c r="D50" s="47">
        <f>ROUND(B50*$C$26,2)</f>
        <v>107.93</v>
      </c>
    </row>
    <row r="51" spans="1:4" s="2" customFormat="1" ht="15.75" x14ac:dyDescent="0.25">
      <c r="A51" s="2" t="s">
        <v>43</v>
      </c>
      <c r="B51" s="48">
        <v>1140</v>
      </c>
      <c r="C51" s="46">
        <f>ROUND(B51*$B$24,0)</f>
        <v>148</v>
      </c>
      <c r="D51" s="47">
        <f>ROUND(B51*$C$24,2)</f>
        <v>5.91</v>
      </c>
    </row>
    <row r="52" spans="1:4" s="2" customFormat="1" ht="15.75" x14ac:dyDescent="0.25">
      <c r="A52" s="2" t="s">
        <v>44</v>
      </c>
      <c r="B52" s="48">
        <v>0</v>
      </c>
      <c r="C52" s="46">
        <f>ROUND(B52*$B$24,0)</f>
        <v>0</v>
      </c>
      <c r="D52" s="47">
        <f>ROUND(B52*$C$24,2)</f>
        <v>0</v>
      </c>
    </row>
    <row r="53" spans="1:4" s="2" customFormat="1" ht="15.75" x14ac:dyDescent="0.25">
      <c r="A53" s="2" t="s">
        <v>45</v>
      </c>
      <c r="B53" s="48">
        <v>7300</v>
      </c>
      <c r="C53" s="46">
        <f>ROUND(B53*$B$27,0)</f>
        <v>890</v>
      </c>
      <c r="D53" s="47">
        <f>ROUND(B53*$C$27,2)</f>
        <v>35.6</v>
      </c>
    </row>
    <row r="54" spans="1:4" s="2" customFormat="1" ht="15.75" x14ac:dyDescent="0.25">
      <c r="A54" s="2" t="s">
        <v>46</v>
      </c>
      <c r="B54" s="48">
        <v>84104</v>
      </c>
      <c r="C54" s="46">
        <f>ROUND(B54*$B$24,0)</f>
        <v>10899</v>
      </c>
      <c r="D54" s="47">
        <f>ROUND(B54*$C$24,2)</f>
        <v>436</v>
      </c>
    </row>
    <row r="55" spans="1:4" s="2" customFormat="1" ht="15.75" x14ac:dyDescent="0.25">
      <c r="A55" s="2" t="s">
        <v>50</v>
      </c>
      <c r="B55" s="48">
        <f>SUM(B46:B54)</f>
        <v>770974</v>
      </c>
      <c r="C55" s="46">
        <f>SUM(C46:C54)</f>
        <v>29628</v>
      </c>
      <c r="D55" s="47">
        <f>SUM(D46:D54)</f>
        <v>1184.92</v>
      </c>
    </row>
    <row r="56" spans="1:4" s="2" customFormat="1" ht="15.75" x14ac:dyDescent="0.25">
      <c r="A56" s="2" t="s">
        <v>51</v>
      </c>
      <c r="B56" s="205" t="s">
        <v>215</v>
      </c>
      <c r="C56" s="46">
        <f t="shared" ref="C56" si="1">C44+C55</f>
        <v>96437.03</v>
      </c>
      <c r="D56" s="47">
        <f t="shared" ref="D56" si="2">D44+D55</f>
        <v>3857.27</v>
      </c>
    </row>
    <row r="57" spans="1:4" s="2" customFormat="1" ht="15.75" x14ac:dyDescent="0.25">
      <c r="A57" s="2" t="s">
        <v>203</v>
      </c>
      <c r="B57" s="214"/>
      <c r="C57" s="46"/>
      <c r="D57" s="47"/>
    </row>
    <row r="58" spans="1:4" s="2" customFormat="1" ht="15.75" x14ac:dyDescent="0.25">
      <c r="B58" s="49"/>
      <c r="C58" s="50"/>
      <c r="D58" s="47"/>
    </row>
    <row r="59" spans="1:4" s="2" customFormat="1" ht="15.75" x14ac:dyDescent="0.25">
      <c r="A59" s="18" t="s">
        <v>193</v>
      </c>
      <c r="B59" s="51"/>
      <c r="C59" s="52"/>
      <c r="D59" s="53"/>
    </row>
    <row r="60" spans="1:4" s="2" customFormat="1" ht="31.5" x14ac:dyDescent="0.25">
      <c r="A60" s="64" t="s">
        <v>34</v>
      </c>
      <c r="B60" s="65" t="s">
        <v>35</v>
      </c>
      <c r="C60" s="65" t="s">
        <v>36</v>
      </c>
      <c r="D60" s="66" t="s">
        <v>37</v>
      </c>
    </row>
    <row r="61" spans="1:4" s="2" customFormat="1" ht="15.75" x14ac:dyDescent="0.25">
      <c r="A61" s="2" t="s">
        <v>38</v>
      </c>
      <c r="B61" s="45">
        <v>86.050000000000011</v>
      </c>
      <c r="C61" s="46">
        <f>ROUND(B61*$B$20,2)</f>
        <v>1745.26</v>
      </c>
      <c r="D61" s="47">
        <f>ROUND(B61*$C$20,2)</f>
        <v>69.81</v>
      </c>
    </row>
    <row r="62" spans="1:4" s="2" customFormat="1" ht="15.75" x14ac:dyDescent="0.25">
      <c r="A62" s="2" t="s">
        <v>39</v>
      </c>
      <c r="B62" s="45">
        <v>40.660000000000004</v>
      </c>
      <c r="C62" s="46">
        <f>ROUND(B62*$B$20,2)</f>
        <v>824.67</v>
      </c>
      <c r="D62" s="47">
        <f>ROUND(B62*$C$20,2)</f>
        <v>32.99</v>
      </c>
    </row>
    <row r="63" spans="1:4" s="2" customFormat="1" ht="15.75" x14ac:dyDescent="0.25">
      <c r="A63" s="2" t="s">
        <v>40</v>
      </c>
      <c r="B63" s="45">
        <v>0</v>
      </c>
      <c r="C63" s="46">
        <f>ROUND(B63*$B$21,0)</f>
        <v>0</v>
      </c>
      <c r="D63" s="47">
        <f>ROUND(B63*$C$21,2)</f>
        <v>0</v>
      </c>
    </row>
    <row r="64" spans="1:4" s="2" customFormat="1" ht="15.75" x14ac:dyDescent="0.25">
      <c r="A64" s="2" t="s">
        <v>41</v>
      </c>
      <c r="B64" s="45">
        <v>2153.2800000000002</v>
      </c>
      <c r="C64" s="46">
        <f>ROUND(B64*$B$21,0)</f>
        <v>3885</v>
      </c>
      <c r="D64" s="47">
        <f>ROUND(B64*$C$21,2)</f>
        <v>155.38</v>
      </c>
    </row>
    <row r="65" spans="1:4" s="2" customFormat="1" ht="15.75" x14ac:dyDescent="0.25">
      <c r="A65" s="2" t="s">
        <v>42</v>
      </c>
      <c r="B65" s="45">
        <v>2433.4199999999996</v>
      </c>
      <c r="C65" s="46">
        <f>ROUND(B65*$B$22,0)</f>
        <v>525</v>
      </c>
      <c r="D65" s="47">
        <f>ROUND(B65*$C$22,2)</f>
        <v>20.98</v>
      </c>
    </row>
    <row r="66" spans="1:4" s="2" customFormat="1" ht="15.75" x14ac:dyDescent="0.25">
      <c r="A66" s="2" t="s">
        <v>43</v>
      </c>
      <c r="B66" s="45">
        <v>318.37</v>
      </c>
      <c r="C66" s="46">
        <f>ROUND(B66*$B$19,0)</f>
        <v>9126</v>
      </c>
      <c r="D66" s="47">
        <f>ROUND(B66*$C$19,2)</f>
        <v>365.02</v>
      </c>
    </row>
    <row r="67" spans="1:4" s="2" customFormat="1" ht="15.75" x14ac:dyDescent="0.25">
      <c r="A67" s="2" t="s">
        <v>44</v>
      </c>
      <c r="B67" s="45">
        <v>0</v>
      </c>
      <c r="C67" s="46">
        <f>ROUND(B67*$B$19,0)</f>
        <v>0</v>
      </c>
      <c r="D67" s="47">
        <f>ROUND(B67*$C$19,2)</f>
        <v>0</v>
      </c>
    </row>
    <row r="68" spans="1:4" s="2" customFormat="1" ht="15.75" x14ac:dyDescent="0.25">
      <c r="A68" s="2" t="s">
        <v>45</v>
      </c>
      <c r="B68" s="45">
        <v>0</v>
      </c>
      <c r="C68" s="46">
        <f>ROUND(B68*$B$19,0)</f>
        <v>0</v>
      </c>
      <c r="D68" s="47">
        <f>ROUND(B68*$C$19,2)</f>
        <v>0</v>
      </c>
    </row>
    <row r="69" spans="1:4" s="2" customFormat="1" ht="15.75" x14ac:dyDescent="0.25">
      <c r="A69" s="2" t="s">
        <v>46</v>
      </c>
      <c r="B69" s="45">
        <v>0.7</v>
      </c>
      <c r="C69" s="46">
        <f>ROUND(B69*$B$20,0)</f>
        <v>14</v>
      </c>
      <c r="D69" s="47">
        <f>ROUND(B69*$C$20,2)</f>
        <v>0.56999999999999995</v>
      </c>
    </row>
    <row r="70" spans="1:4" s="2" customFormat="1" ht="15.75" x14ac:dyDescent="0.25">
      <c r="A70" s="2" t="s">
        <v>47</v>
      </c>
      <c r="B70" s="45">
        <f>SUM(B61:B69)</f>
        <v>5032.4799999999996</v>
      </c>
      <c r="C70" s="46">
        <f>SUM(C61:C69)</f>
        <v>16119.93</v>
      </c>
      <c r="D70" s="47">
        <f>SUM(D61:D69)</f>
        <v>644.75000000000011</v>
      </c>
    </row>
    <row r="71" spans="1:4" s="2" customFormat="1" ht="31.5" x14ac:dyDescent="0.25">
      <c r="A71" s="64" t="s">
        <v>48</v>
      </c>
      <c r="B71" s="65" t="s">
        <v>49</v>
      </c>
      <c r="C71" s="65" t="s">
        <v>36</v>
      </c>
      <c r="D71" s="66" t="s">
        <v>37</v>
      </c>
    </row>
    <row r="72" spans="1:4" s="2" customFormat="1" ht="15.75" x14ac:dyDescent="0.25">
      <c r="A72" s="2" t="s">
        <v>38</v>
      </c>
      <c r="B72" s="48">
        <v>26182</v>
      </c>
      <c r="C72" s="46">
        <f>ROUND(B72*$B$24,0)</f>
        <v>3393</v>
      </c>
      <c r="D72" s="47">
        <f>ROUND(B72*$C$24,2)</f>
        <v>135.72999999999999</v>
      </c>
    </row>
    <row r="73" spans="1:4" s="2" customFormat="1" ht="15.75" x14ac:dyDescent="0.25">
      <c r="A73" s="2" t="s">
        <v>39</v>
      </c>
      <c r="B73" s="48">
        <v>807</v>
      </c>
      <c r="C73" s="46">
        <f>ROUND(B73*$B$24,0)</f>
        <v>105</v>
      </c>
      <c r="D73" s="47">
        <f>ROUND(B73*$C$24,2)</f>
        <v>4.18</v>
      </c>
    </row>
    <row r="74" spans="1:4" s="2" customFormat="1" ht="15.75" x14ac:dyDescent="0.25">
      <c r="A74" s="2" t="s">
        <v>40</v>
      </c>
      <c r="B74" s="48">
        <v>0</v>
      </c>
      <c r="C74" s="46">
        <f>ROUND(B74*$B$25,0)</f>
        <v>0</v>
      </c>
      <c r="D74" s="47">
        <f>ROUND(B74*$C$25,2)</f>
        <v>0</v>
      </c>
    </row>
    <row r="75" spans="1:4" s="2" customFormat="1" ht="15.75" x14ac:dyDescent="0.25">
      <c r="A75" s="2" t="s">
        <v>41</v>
      </c>
      <c r="B75" s="48">
        <v>41578</v>
      </c>
      <c r="C75" s="46">
        <f>ROUND(B75*$B$25,0)</f>
        <v>2328</v>
      </c>
      <c r="D75" s="47">
        <f>ROUND(B75*$C$25,2)</f>
        <v>93.09</v>
      </c>
    </row>
    <row r="76" spans="1:4" s="2" customFormat="1" ht="15.75" x14ac:dyDescent="0.25">
      <c r="A76" s="2" t="s">
        <v>42</v>
      </c>
      <c r="B76" s="48">
        <v>214962</v>
      </c>
      <c r="C76" s="46">
        <f>ROUND(B76*$B$26,0)</f>
        <v>1104</v>
      </c>
      <c r="D76" s="47">
        <f>ROUND(B76*$C$26,2)</f>
        <v>44.07</v>
      </c>
    </row>
    <row r="77" spans="1:4" s="2" customFormat="1" ht="15.75" x14ac:dyDescent="0.25">
      <c r="A77" s="2" t="s">
        <v>43</v>
      </c>
      <c r="B77" s="48">
        <v>0</v>
      </c>
      <c r="C77" s="46">
        <f>ROUND(B77*$B$24,0)</f>
        <v>0</v>
      </c>
      <c r="D77" s="47">
        <f>ROUND(B77*$C$24,2)</f>
        <v>0</v>
      </c>
    </row>
    <row r="78" spans="1:4" s="2" customFormat="1" ht="15.75" x14ac:dyDescent="0.25">
      <c r="A78" s="2" t="s">
        <v>44</v>
      </c>
      <c r="B78" s="48">
        <v>0</v>
      </c>
      <c r="C78" s="46">
        <f>ROUND(B78*$B$24,0)</f>
        <v>0</v>
      </c>
      <c r="D78" s="47">
        <f>ROUND(B78*$C$24,2)</f>
        <v>0</v>
      </c>
    </row>
    <row r="79" spans="1:4" s="2" customFormat="1" ht="15.75" x14ac:dyDescent="0.25">
      <c r="A79" s="2" t="s">
        <v>45</v>
      </c>
      <c r="B79" s="48">
        <v>503</v>
      </c>
      <c r="C79" s="46">
        <f>ROUND(B79*$B$27,0)</f>
        <v>61</v>
      </c>
      <c r="D79" s="47">
        <f>ROUND(B79*$C$27,2)</f>
        <v>2.4500000000000002</v>
      </c>
    </row>
    <row r="80" spans="1:4" s="2" customFormat="1" ht="15.75" x14ac:dyDescent="0.25">
      <c r="A80" s="2" t="s">
        <v>46</v>
      </c>
      <c r="B80" s="48">
        <v>0</v>
      </c>
      <c r="C80" s="46">
        <f>ROUND(B80*$B$24,0)</f>
        <v>0</v>
      </c>
      <c r="D80" s="47">
        <f>ROUND(C80*$C$24,2)</f>
        <v>0</v>
      </c>
    </row>
    <row r="81" spans="1:4" s="2" customFormat="1" ht="15.75" x14ac:dyDescent="0.25">
      <c r="A81" s="2" t="s">
        <v>50</v>
      </c>
      <c r="B81" s="48">
        <f>SUM(B72:B80)</f>
        <v>284032</v>
      </c>
      <c r="C81" s="46">
        <f>SUM(C72:C80)</f>
        <v>6991</v>
      </c>
      <c r="D81" s="47">
        <f>SUM(D72:D80)</f>
        <v>279.52</v>
      </c>
    </row>
    <row r="82" spans="1:4" s="2" customFormat="1" ht="15.75" x14ac:dyDescent="0.25">
      <c r="A82" s="54" t="s">
        <v>51</v>
      </c>
      <c r="B82" s="205" t="s">
        <v>215</v>
      </c>
      <c r="C82" s="55">
        <f>C70+C81</f>
        <v>23110.93</v>
      </c>
      <c r="D82" s="56">
        <f>D70+D81</f>
        <v>924.2700000000001</v>
      </c>
    </row>
    <row r="83" spans="1:4" s="2" customFormat="1" ht="15.75" x14ac:dyDescent="0.25">
      <c r="A83" s="2" t="s">
        <v>203</v>
      </c>
      <c r="B83" s="214"/>
      <c r="C83" s="46"/>
      <c r="D83" s="47"/>
    </row>
    <row r="84" spans="1:4" s="2" customFormat="1" ht="15.75" x14ac:dyDescent="0.25">
      <c r="B84" s="49"/>
      <c r="C84" s="50"/>
      <c r="D84" s="47"/>
    </row>
    <row r="85" spans="1:4" s="2" customFormat="1" ht="15.75" x14ac:dyDescent="0.25">
      <c r="A85" s="18" t="s">
        <v>194</v>
      </c>
      <c r="B85" s="51"/>
      <c r="C85" s="52"/>
      <c r="D85" s="53"/>
    </row>
    <row r="86" spans="1:4" s="2" customFormat="1" ht="31.5" x14ac:dyDescent="0.25">
      <c r="A86" s="64" t="s">
        <v>34</v>
      </c>
      <c r="B86" s="65" t="s">
        <v>35</v>
      </c>
      <c r="C86" s="65" t="s">
        <v>36</v>
      </c>
      <c r="D86" s="66" t="s">
        <v>37</v>
      </c>
    </row>
    <row r="87" spans="1:4" s="2" customFormat="1" ht="15.75" x14ac:dyDescent="0.25">
      <c r="A87" s="2" t="s">
        <v>38</v>
      </c>
      <c r="B87" s="45">
        <v>9.7799999999999994</v>
      </c>
      <c r="C87" s="46">
        <f>ROUND(B87*$B$20,2)</f>
        <v>198.36</v>
      </c>
      <c r="D87" s="57">
        <f>ROUND(B87*$C$20,2)</f>
        <v>7.93</v>
      </c>
    </row>
    <row r="88" spans="1:4" s="2" customFormat="1" ht="15.75" x14ac:dyDescent="0.25">
      <c r="A88" s="2" t="s">
        <v>39</v>
      </c>
      <c r="B88" s="45">
        <v>15.83</v>
      </c>
      <c r="C88" s="46">
        <f>ROUND(B88*$B$20,2)</f>
        <v>321.06</v>
      </c>
      <c r="D88" s="57">
        <f>ROUND(B88*$C$20,2)</f>
        <v>12.84</v>
      </c>
    </row>
    <row r="89" spans="1:4" s="2" customFormat="1" ht="15.75" x14ac:dyDescent="0.25">
      <c r="A89" s="2" t="s">
        <v>40</v>
      </c>
      <c r="B89" s="45">
        <v>0</v>
      </c>
      <c r="C89" s="46">
        <f>ROUND(B89*$B$21,0)</f>
        <v>0</v>
      </c>
      <c r="D89" s="57">
        <f>ROUND(B89*$C$21,2)</f>
        <v>0</v>
      </c>
    </row>
    <row r="90" spans="1:4" s="2" customFormat="1" ht="15.75" x14ac:dyDescent="0.25">
      <c r="A90" s="2" t="s">
        <v>41</v>
      </c>
      <c r="B90" s="45">
        <v>356.74</v>
      </c>
      <c r="C90" s="46">
        <f>ROUND(B90*$B$21,0)</f>
        <v>644</v>
      </c>
      <c r="D90" s="57">
        <f>ROUND(B90*$C$21,2)</f>
        <v>25.74</v>
      </c>
    </row>
    <row r="91" spans="1:4" s="2" customFormat="1" ht="15.75" x14ac:dyDescent="0.25">
      <c r="A91" s="2" t="s">
        <v>42</v>
      </c>
      <c r="B91" s="45">
        <v>356.65</v>
      </c>
      <c r="C91" s="46">
        <f>ROUND(B91*$B$22,0)</f>
        <v>77</v>
      </c>
      <c r="D91" s="57">
        <f>ROUND(B91*$C$22,2)</f>
        <v>3.08</v>
      </c>
    </row>
    <row r="92" spans="1:4" s="2" customFormat="1" ht="15.75" x14ac:dyDescent="0.25">
      <c r="A92" s="2" t="s">
        <v>43</v>
      </c>
      <c r="B92" s="45">
        <v>26.84</v>
      </c>
      <c r="C92" s="46">
        <f>ROUND(B92*$B$19,0)</f>
        <v>769</v>
      </c>
      <c r="D92" s="57">
        <f>ROUND(B92*$C$19,2)</f>
        <v>30.77</v>
      </c>
    </row>
    <row r="93" spans="1:4" s="2" customFormat="1" ht="15.75" x14ac:dyDescent="0.25">
      <c r="A93" s="2" t="s">
        <v>44</v>
      </c>
      <c r="B93" s="45">
        <v>0</v>
      </c>
      <c r="C93" s="46">
        <f>ROUND(B93*$B$19,0)</f>
        <v>0</v>
      </c>
      <c r="D93" s="57">
        <f>ROUND(B93*$C$19,2)</f>
        <v>0</v>
      </c>
    </row>
    <row r="94" spans="1:4" s="2" customFormat="1" ht="15.75" x14ac:dyDescent="0.25">
      <c r="A94" s="2" t="s">
        <v>45</v>
      </c>
      <c r="B94" s="45">
        <v>0</v>
      </c>
      <c r="C94" s="46">
        <f>ROUND(B94*$B$19,0)</f>
        <v>0</v>
      </c>
      <c r="D94" s="57">
        <f>ROUND(B94*$C$19,2)</f>
        <v>0</v>
      </c>
    </row>
    <row r="95" spans="1:4" s="2" customFormat="1" ht="15.75" x14ac:dyDescent="0.25">
      <c r="A95" s="2" t="s">
        <v>46</v>
      </c>
      <c r="B95" s="45">
        <v>0</v>
      </c>
      <c r="C95" s="46">
        <f>ROUND(B95*$B$20,0)</f>
        <v>0</v>
      </c>
      <c r="D95" s="57">
        <f>ROUND(B95*$C$20,2)</f>
        <v>0</v>
      </c>
    </row>
    <row r="96" spans="1:4" s="2" customFormat="1" ht="15.75" x14ac:dyDescent="0.25">
      <c r="A96" s="2" t="s">
        <v>47</v>
      </c>
      <c r="B96" s="45">
        <f>SUM(B87:B95)</f>
        <v>765.84</v>
      </c>
      <c r="C96" s="46">
        <f>SUM(C87:C95)</f>
        <v>2009.42</v>
      </c>
      <c r="D96" s="57">
        <f>SUM(D87:D95)</f>
        <v>80.36</v>
      </c>
    </row>
    <row r="97" spans="1:4" s="2" customFormat="1" ht="31.5" x14ac:dyDescent="0.25">
      <c r="A97" s="64" t="s">
        <v>48</v>
      </c>
      <c r="B97" s="65" t="s">
        <v>49</v>
      </c>
      <c r="C97" s="65" t="s">
        <v>36</v>
      </c>
      <c r="D97" s="66" t="s">
        <v>37</v>
      </c>
    </row>
    <row r="98" spans="1:4" s="2" customFormat="1" ht="15.75" x14ac:dyDescent="0.25">
      <c r="A98" s="2" t="s">
        <v>38</v>
      </c>
      <c r="B98" s="48">
        <v>857</v>
      </c>
      <c r="C98" s="46">
        <f>ROUND(B98*$B$24,0)</f>
        <v>111</v>
      </c>
      <c r="D98" s="57">
        <f>ROUND(B98*$C$24,2)</f>
        <v>4.4400000000000004</v>
      </c>
    </row>
    <row r="99" spans="1:4" s="2" customFormat="1" ht="15.75" x14ac:dyDescent="0.25">
      <c r="A99" s="2" t="s">
        <v>39</v>
      </c>
      <c r="B99" s="48">
        <v>661</v>
      </c>
      <c r="C99" s="46">
        <f>ROUND(B99*$B$24,0)</f>
        <v>86</v>
      </c>
      <c r="D99" s="57">
        <f>ROUND(B99*$C$24,2)</f>
        <v>3.43</v>
      </c>
    </row>
    <row r="100" spans="1:4" s="2" customFormat="1" ht="15.75" x14ac:dyDescent="0.25">
      <c r="A100" s="2" t="s">
        <v>40</v>
      </c>
      <c r="B100" s="48">
        <v>0</v>
      </c>
      <c r="C100" s="46">
        <f>ROUND(B100*$B$25,0)</f>
        <v>0</v>
      </c>
      <c r="D100" s="57">
        <f>ROUND(B100*$C$25,2)</f>
        <v>0</v>
      </c>
    </row>
    <row r="101" spans="1:4" s="2" customFormat="1" ht="15.75" x14ac:dyDescent="0.25">
      <c r="A101" s="2" t="s">
        <v>41</v>
      </c>
      <c r="B101" s="48">
        <v>6250</v>
      </c>
      <c r="C101" s="46">
        <f>ROUND(B101*$B$25,0)</f>
        <v>350</v>
      </c>
      <c r="D101" s="57">
        <f>ROUND(B101*$C$25,2)</f>
        <v>13.99</v>
      </c>
    </row>
    <row r="102" spans="1:4" s="2" customFormat="1" ht="15.75" x14ac:dyDescent="0.25">
      <c r="A102" s="2" t="s">
        <v>42</v>
      </c>
      <c r="B102" s="48">
        <v>25019</v>
      </c>
      <c r="C102" s="46">
        <f>ROUND(B102*$B$26,0)</f>
        <v>128</v>
      </c>
      <c r="D102" s="57">
        <f>ROUND(B102*$C$26,2)</f>
        <v>5.13</v>
      </c>
    </row>
    <row r="103" spans="1:4" s="2" customFormat="1" ht="15.75" x14ac:dyDescent="0.25">
      <c r="A103" s="2" t="s">
        <v>43</v>
      </c>
      <c r="B103" s="48">
        <v>1</v>
      </c>
      <c r="C103" s="46">
        <f>ROUND(B103*$B$24,0)</f>
        <v>0</v>
      </c>
      <c r="D103" s="57">
        <f>ROUND(B103*$C$24,2)</f>
        <v>0.01</v>
      </c>
    </row>
    <row r="104" spans="1:4" s="2" customFormat="1" ht="15.75" x14ac:dyDescent="0.25">
      <c r="A104" s="2" t="s">
        <v>44</v>
      </c>
      <c r="B104" s="48">
        <v>0</v>
      </c>
      <c r="C104" s="46">
        <f>ROUND(B104*$B$24,0)</f>
        <v>0</v>
      </c>
      <c r="D104" s="57">
        <f>ROUND(B104*$C$24,2)</f>
        <v>0</v>
      </c>
    </row>
    <row r="105" spans="1:4" s="2" customFormat="1" ht="15.75" x14ac:dyDescent="0.25">
      <c r="A105" s="2" t="s">
        <v>45</v>
      </c>
      <c r="B105" s="48">
        <v>119</v>
      </c>
      <c r="C105" s="46">
        <f>ROUND(B105*$B$27,0)</f>
        <v>15</v>
      </c>
      <c r="D105" s="57">
        <f>ROUND(B105*$C$27,2)</f>
        <v>0.57999999999999996</v>
      </c>
    </row>
    <row r="106" spans="1:4" s="2" customFormat="1" ht="15.75" x14ac:dyDescent="0.25">
      <c r="A106" s="2" t="s">
        <v>46</v>
      </c>
      <c r="B106" s="48">
        <v>0</v>
      </c>
      <c r="C106" s="46">
        <f>ROUND(B106*$B$24,0)</f>
        <v>0</v>
      </c>
      <c r="D106" s="57">
        <f>ROUND(B106*$C$24,2)</f>
        <v>0</v>
      </c>
    </row>
    <row r="107" spans="1:4" s="2" customFormat="1" ht="15.75" x14ac:dyDescent="0.25">
      <c r="A107" s="2" t="s">
        <v>50</v>
      </c>
      <c r="B107" s="48">
        <f>SUM(B98:B106)</f>
        <v>32907</v>
      </c>
      <c r="C107" s="46">
        <f>SUM(C98:C106)</f>
        <v>690</v>
      </c>
      <c r="D107" s="57">
        <f>SUM(D98:D106)</f>
        <v>27.58</v>
      </c>
    </row>
    <row r="108" spans="1:4" s="2" customFormat="1" ht="15.75" x14ac:dyDescent="0.25">
      <c r="A108" s="54" t="s">
        <v>51</v>
      </c>
      <c r="B108" s="205" t="s">
        <v>215</v>
      </c>
      <c r="C108" s="55">
        <f>C96+C107</f>
        <v>2699.42</v>
      </c>
      <c r="D108" s="58">
        <f>D96+D107</f>
        <v>107.94</v>
      </c>
    </row>
    <row r="109" spans="1:4" s="2" customFormat="1" ht="15.75" x14ac:dyDescent="0.25">
      <c r="A109" s="2" t="s">
        <v>203</v>
      </c>
      <c r="B109" s="214"/>
      <c r="C109" s="46"/>
      <c r="D109" s="57"/>
    </row>
    <row r="110" spans="1:4" s="2" customFormat="1" ht="15.75" x14ac:dyDescent="0.25">
      <c r="B110" s="49"/>
      <c r="C110" s="50"/>
      <c r="D110" s="57"/>
    </row>
    <row r="111" spans="1:4" s="2" customFormat="1" ht="15.75" x14ac:dyDescent="0.25">
      <c r="A111" s="18" t="s">
        <v>195</v>
      </c>
      <c r="B111" s="51"/>
      <c r="C111" s="52"/>
      <c r="D111" s="53"/>
    </row>
    <row r="112" spans="1:4" s="2" customFormat="1" ht="31.5" x14ac:dyDescent="0.25">
      <c r="A112" s="64" t="s">
        <v>34</v>
      </c>
      <c r="B112" s="65" t="s">
        <v>35</v>
      </c>
      <c r="C112" s="65" t="s">
        <v>36</v>
      </c>
      <c r="D112" s="66" t="s">
        <v>37</v>
      </c>
    </row>
    <row r="113" spans="1:4" s="2" customFormat="1" ht="15.75" x14ac:dyDescent="0.25">
      <c r="A113" s="2" t="s">
        <v>38</v>
      </c>
      <c r="B113" s="45">
        <v>2.77</v>
      </c>
      <c r="C113" s="46">
        <f>ROUND(B113*$B$20,2)</f>
        <v>56.18</v>
      </c>
      <c r="D113" s="47">
        <f>ROUND(B113*$C$20,2)</f>
        <v>2.25</v>
      </c>
    </row>
    <row r="114" spans="1:4" s="2" customFormat="1" ht="15.75" x14ac:dyDescent="0.25">
      <c r="A114" s="2" t="s">
        <v>39</v>
      </c>
      <c r="B114" s="45">
        <v>3.56</v>
      </c>
      <c r="C114" s="46">
        <f>ROUND(B114*$B$20,2)</f>
        <v>72.2</v>
      </c>
      <c r="D114" s="47">
        <f>ROUND(B114*$C$20,2)</f>
        <v>2.89</v>
      </c>
    </row>
    <row r="115" spans="1:4" s="2" customFormat="1" ht="15.75" x14ac:dyDescent="0.25">
      <c r="A115" s="2" t="s">
        <v>40</v>
      </c>
      <c r="B115" s="45">
        <v>0</v>
      </c>
      <c r="C115" s="46">
        <f>ROUND(B115*$B$21,0)</f>
        <v>0</v>
      </c>
      <c r="D115" s="47">
        <f>ROUND(B115*$C$21,2)</f>
        <v>0</v>
      </c>
    </row>
    <row r="116" spans="1:4" s="2" customFormat="1" ht="15.75" x14ac:dyDescent="0.25">
      <c r="A116" s="2" t="s">
        <v>41</v>
      </c>
      <c r="B116" s="45">
        <v>112.66</v>
      </c>
      <c r="C116" s="46">
        <f>ROUND(B116*$B$21,0)</f>
        <v>203</v>
      </c>
      <c r="D116" s="47">
        <f>ROUND(B116*$C$21,2)</f>
        <v>8.1300000000000008</v>
      </c>
    </row>
    <row r="117" spans="1:4" s="2" customFormat="1" ht="15.75" x14ac:dyDescent="0.25">
      <c r="A117" s="2" t="s">
        <v>42</v>
      </c>
      <c r="B117" s="45">
        <v>128.22999999999999</v>
      </c>
      <c r="C117" s="46">
        <f>ROUND(B117*$B$22,0)</f>
        <v>28</v>
      </c>
      <c r="D117" s="47">
        <f>ROUND(B117*$C$22,2)</f>
        <v>1.1100000000000001</v>
      </c>
    </row>
    <row r="118" spans="1:4" s="2" customFormat="1" ht="15.75" x14ac:dyDescent="0.25">
      <c r="A118" s="2" t="s">
        <v>43</v>
      </c>
      <c r="B118" s="45">
        <v>20.94</v>
      </c>
      <c r="C118" s="46">
        <f>ROUND(B118*$B$19,0)</f>
        <v>600</v>
      </c>
      <c r="D118" s="47">
        <f>ROUND(B118*$C$19,2)</f>
        <v>24.01</v>
      </c>
    </row>
    <row r="119" spans="1:4" s="2" customFormat="1" ht="15.75" x14ac:dyDescent="0.25">
      <c r="A119" s="2" t="s">
        <v>44</v>
      </c>
      <c r="B119" s="45">
        <v>0.26</v>
      </c>
      <c r="C119" s="46">
        <f>ROUND(B119*$B$19,0)</f>
        <v>7</v>
      </c>
      <c r="D119" s="47">
        <f>ROUND(B119*$C$19,2)</f>
        <v>0.3</v>
      </c>
    </row>
    <row r="120" spans="1:4" s="2" customFormat="1" ht="15.75" x14ac:dyDescent="0.25">
      <c r="A120" s="2" t="s">
        <v>45</v>
      </c>
      <c r="B120" s="45">
        <v>0</v>
      </c>
      <c r="C120" s="46">
        <f>ROUND(B120*$B$19,0)</f>
        <v>0</v>
      </c>
      <c r="D120" s="47">
        <f>ROUND(B120*$C$19,2)</f>
        <v>0</v>
      </c>
    </row>
    <row r="121" spans="1:4" s="2" customFormat="1" ht="15.75" x14ac:dyDescent="0.25">
      <c r="A121" s="2" t="s">
        <v>46</v>
      </c>
      <c r="B121" s="45">
        <v>0</v>
      </c>
      <c r="C121" s="46">
        <f>ROUND(B121*$B$20,0)</f>
        <v>0</v>
      </c>
      <c r="D121" s="47">
        <f>ROUND(B121*$C$20,2)</f>
        <v>0</v>
      </c>
    </row>
    <row r="122" spans="1:4" s="2" customFormat="1" ht="15.75" x14ac:dyDescent="0.25">
      <c r="A122" s="2" t="s">
        <v>47</v>
      </c>
      <c r="B122" s="45">
        <f>SUM(B113:B121)</f>
        <v>268.41999999999996</v>
      </c>
      <c r="C122" s="46">
        <f>SUM(C113:C121)</f>
        <v>966.38</v>
      </c>
      <c r="D122" s="47">
        <f>SUM(D113:D121)</f>
        <v>38.69</v>
      </c>
    </row>
    <row r="123" spans="1:4" s="2" customFormat="1" ht="31.5" x14ac:dyDescent="0.25">
      <c r="A123" s="64" t="s">
        <v>48</v>
      </c>
      <c r="B123" s="65" t="s">
        <v>49</v>
      </c>
      <c r="C123" s="65" t="s">
        <v>36</v>
      </c>
      <c r="D123" s="66" t="s">
        <v>37</v>
      </c>
    </row>
    <row r="124" spans="1:4" s="2" customFormat="1" ht="15.75" x14ac:dyDescent="0.25">
      <c r="A124" s="2" t="s">
        <v>38</v>
      </c>
      <c r="B124" s="48">
        <v>677</v>
      </c>
      <c r="C124" s="46">
        <f>ROUND(B124*$B$24,0)</f>
        <v>88</v>
      </c>
      <c r="D124" s="47">
        <f>ROUND(B124*$C$24,2)</f>
        <v>3.51</v>
      </c>
    </row>
    <row r="125" spans="1:4" s="2" customFormat="1" ht="15.75" x14ac:dyDescent="0.25">
      <c r="A125" s="2" t="s">
        <v>39</v>
      </c>
      <c r="B125" s="48">
        <v>75</v>
      </c>
      <c r="C125" s="46">
        <f>ROUND(B125*$B$24,0)</f>
        <v>10</v>
      </c>
      <c r="D125" s="47">
        <f>ROUND(B125*$C$24,2)</f>
        <v>0.39</v>
      </c>
    </row>
    <row r="126" spans="1:4" s="2" customFormat="1" ht="15.75" x14ac:dyDescent="0.25">
      <c r="A126" s="2" t="s">
        <v>40</v>
      </c>
      <c r="B126" s="48">
        <v>0</v>
      </c>
      <c r="C126" s="46">
        <f>ROUND(B126*$B$25,0)</f>
        <v>0</v>
      </c>
      <c r="D126" s="47">
        <f>ROUND(B126*$C$25,2)</f>
        <v>0</v>
      </c>
    </row>
    <row r="127" spans="1:4" s="2" customFormat="1" ht="15.75" x14ac:dyDescent="0.25">
      <c r="A127" s="2" t="s">
        <v>41</v>
      </c>
      <c r="B127" s="48">
        <v>2074</v>
      </c>
      <c r="C127" s="46">
        <f>ROUND(B127*$B$25,0)</f>
        <v>116</v>
      </c>
      <c r="D127" s="47">
        <f>ROUND(B127*$C$25,2)</f>
        <v>4.6399999999999997</v>
      </c>
    </row>
    <row r="128" spans="1:4" s="2" customFormat="1" ht="15.75" x14ac:dyDescent="0.25">
      <c r="A128" s="2" t="s">
        <v>42</v>
      </c>
      <c r="B128" s="48">
        <v>8414</v>
      </c>
      <c r="C128" s="46">
        <f>ROUND(B128*$B$26,0)</f>
        <v>43</v>
      </c>
      <c r="D128" s="47">
        <f>ROUND(B128*$C$26,2)</f>
        <v>1.72</v>
      </c>
    </row>
    <row r="129" spans="1:4" s="2" customFormat="1" ht="15.75" x14ac:dyDescent="0.25">
      <c r="A129" s="2" t="s">
        <v>43</v>
      </c>
      <c r="B129" s="48">
        <v>0</v>
      </c>
      <c r="C129" s="46">
        <f>ROUND(B129*$B$24,0)</f>
        <v>0</v>
      </c>
      <c r="D129" s="47">
        <f>ROUND(B129*$C$24,2)</f>
        <v>0</v>
      </c>
    </row>
    <row r="130" spans="1:4" s="2" customFormat="1" ht="15.75" x14ac:dyDescent="0.25">
      <c r="A130" s="2" t="s">
        <v>44</v>
      </c>
      <c r="B130" s="48">
        <v>0</v>
      </c>
      <c r="C130" s="46">
        <f>ROUND(B130*$B$24,0)</f>
        <v>0</v>
      </c>
      <c r="D130" s="47">
        <f>ROUND(B130*$C$24,2)</f>
        <v>0</v>
      </c>
    </row>
    <row r="131" spans="1:4" s="2" customFormat="1" ht="15.75" x14ac:dyDescent="0.25">
      <c r="A131" s="2" t="s">
        <v>45</v>
      </c>
      <c r="B131" s="48">
        <v>0</v>
      </c>
      <c r="C131" s="46">
        <f>ROUND(B131*$B$27,0)</f>
        <v>0</v>
      </c>
      <c r="D131" s="47">
        <f>ROUND(B131*$C$27,2)</f>
        <v>0</v>
      </c>
    </row>
    <row r="132" spans="1:4" s="2" customFormat="1" ht="15.75" x14ac:dyDescent="0.25">
      <c r="A132" s="2" t="s">
        <v>46</v>
      </c>
      <c r="B132" s="48">
        <v>0</v>
      </c>
      <c r="C132" s="46">
        <f>ROUND(B132*$B$24,0)</f>
        <v>0</v>
      </c>
      <c r="D132" s="47">
        <f>ROUND(B132*$C$24,2)</f>
        <v>0</v>
      </c>
    </row>
    <row r="133" spans="1:4" s="2" customFormat="1" ht="15.75" x14ac:dyDescent="0.25">
      <c r="A133" s="2" t="s">
        <v>50</v>
      </c>
      <c r="B133" s="48">
        <f>SUM(B124:B132)</f>
        <v>11240</v>
      </c>
      <c r="C133" s="46">
        <f>SUM(C124:C132)</f>
        <v>257</v>
      </c>
      <c r="D133" s="47">
        <f>SUM(D124:D132)</f>
        <v>10.26</v>
      </c>
    </row>
    <row r="134" spans="1:4" s="2" customFormat="1" ht="15.75" x14ac:dyDescent="0.25">
      <c r="A134" s="54" t="s">
        <v>51</v>
      </c>
      <c r="B134" s="205" t="s">
        <v>215</v>
      </c>
      <c r="C134" s="55">
        <f>C122+C133</f>
        <v>1223.3800000000001</v>
      </c>
      <c r="D134" s="56">
        <f>D122+D133</f>
        <v>48.949999999999996</v>
      </c>
    </row>
    <row r="135" spans="1:4" s="2" customFormat="1" ht="15.75" x14ac:dyDescent="0.25">
      <c r="A135" s="2" t="s">
        <v>203</v>
      </c>
      <c r="B135" s="214"/>
      <c r="C135" s="46"/>
      <c r="D135" s="47"/>
    </row>
    <row r="136" spans="1:4" s="2" customFormat="1" ht="15.75" x14ac:dyDescent="0.25">
      <c r="B136" s="49"/>
      <c r="C136" s="50"/>
      <c r="D136" s="47"/>
    </row>
    <row r="137" spans="1:4" s="2" customFormat="1" ht="15.75" x14ac:dyDescent="0.25">
      <c r="A137" s="18" t="s">
        <v>196</v>
      </c>
      <c r="B137" s="51"/>
      <c r="C137" s="52"/>
      <c r="D137" s="53"/>
    </row>
    <row r="138" spans="1:4" s="2" customFormat="1" ht="31.5" x14ac:dyDescent="0.25">
      <c r="A138" s="64" t="s">
        <v>34</v>
      </c>
      <c r="B138" s="65" t="s">
        <v>35</v>
      </c>
      <c r="C138" s="65" t="s">
        <v>36</v>
      </c>
      <c r="D138" s="66" t="s">
        <v>37</v>
      </c>
    </row>
    <row r="139" spans="1:4" s="2" customFormat="1" ht="15.75" x14ac:dyDescent="0.25">
      <c r="A139" s="2" t="s">
        <v>38</v>
      </c>
      <c r="B139" s="45">
        <v>8.870000000000001</v>
      </c>
      <c r="C139" s="46">
        <f>ROUND(B139*$B$20,2)</f>
        <v>179.9</v>
      </c>
      <c r="D139" s="47">
        <f>ROUND(B139*$C$20,2)</f>
        <v>7.2</v>
      </c>
    </row>
    <row r="140" spans="1:4" s="2" customFormat="1" ht="15.75" x14ac:dyDescent="0.25">
      <c r="A140" s="2" t="s">
        <v>39</v>
      </c>
      <c r="B140" s="45">
        <v>28.279999999999998</v>
      </c>
      <c r="C140" s="46">
        <f>ROUND(B140*$B$20,2)</f>
        <v>573.57000000000005</v>
      </c>
      <c r="D140" s="47">
        <f>ROUND(B140*$C$20,2)</f>
        <v>22.94</v>
      </c>
    </row>
    <row r="141" spans="1:4" s="2" customFormat="1" ht="15.75" x14ac:dyDescent="0.25">
      <c r="A141" s="2" t="s">
        <v>40</v>
      </c>
      <c r="B141" s="45">
        <v>0</v>
      </c>
      <c r="C141" s="46">
        <f>ROUND(B141*$B$21,0)</f>
        <v>0</v>
      </c>
      <c r="D141" s="47">
        <f>ROUND(B141*$C$21,2)</f>
        <v>0</v>
      </c>
    </row>
    <row r="142" spans="1:4" s="2" customFormat="1" ht="15.75" x14ac:dyDescent="0.25">
      <c r="A142" s="2" t="s">
        <v>41</v>
      </c>
      <c r="B142" s="45">
        <v>158.57999999999998</v>
      </c>
      <c r="C142" s="46">
        <f>ROUND(B142*$B$21,0)</f>
        <v>286</v>
      </c>
      <c r="D142" s="47">
        <f>ROUND(B142*$C$21,2)</f>
        <v>11.44</v>
      </c>
    </row>
    <row r="143" spans="1:4" s="2" customFormat="1" ht="15.75" x14ac:dyDescent="0.25">
      <c r="A143" s="2" t="s">
        <v>42</v>
      </c>
      <c r="B143" s="45">
        <v>375.75</v>
      </c>
      <c r="C143" s="46">
        <f>ROUND(B143*$B$22,0)</f>
        <v>81</v>
      </c>
      <c r="D143" s="47">
        <f>ROUND(B143*$C$22,2)</f>
        <v>3.24</v>
      </c>
    </row>
    <row r="144" spans="1:4" s="2" customFormat="1" ht="15.75" x14ac:dyDescent="0.25">
      <c r="A144" s="2" t="s">
        <v>43</v>
      </c>
      <c r="B144" s="45">
        <v>58.69</v>
      </c>
      <c r="C144" s="46">
        <f>ROUND(B144*$B$19,0)</f>
        <v>1682</v>
      </c>
      <c r="D144" s="47">
        <f>ROUND(B144*$C$19,2)</f>
        <v>67.290000000000006</v>
      </c>
    </row>
    <row r="145" spans="1:4" s="2" customFormat="1" ht="15.75" x14ac:dyDescent="0.25">
      <c r="A145" s="2" t="s">
        <v>44</v>
      </c>
      <c r="B145" s="45">
        <v>0</v>
      </c>
      <c r="C145" s="46">
        <f>ROUND(B145*$B$19,0)</f>
        <v>0</v>
      </c>
      <c r="D145" s="47">
        <f>ROUND(B145*$C$19,2)</f>
        <v>0</v>
      </c>
    </row>
    <row r="146" spans="1:4" s="2" customFormat="1" ht="15.75" x14ac:dyDescent="0.25">
      <c r="A146" s="2" t="s">
        <v>45</v>
      </c>
      <c r="B146" s="45">
        <v>0</v>
      </c>
      <c r="C146" s="46">
        <f>ROUND(B146*$B$19,0)</f>
        <v>0</v>
      </c>
      <c r="D146" s="47">
        <f>ROUND(B146*$C$19,2)</f>
        <v>0</v>
      </c>
    </row>
    <row r="147" spans="1:4" s="2" customFormat="1" ht="15.75" x14ac:dyDescent="0.25">
      <c r="A147" s="2" t="s">
        <v>46</v>
      </c>
      <c r="B147" s="45">
        <v>0</v>
      </c>
      <c r="C147" s="46">
        <f>ROUND(B147*$B$20,0)</f>
        <v>0</v>
      </c>
      <c r="D147" s="47">
        <f>ROUND(B147*$C$20,2)</f>
        <v>0</v>
      </c>
    </row>
    <row r="148" spans="1:4" s="2" customFormat="1" ht="15.75" x14ac:dyDescent="0.25">
      <c r="A148" s="2" t="s">
        <v>47</v>
      </c>
      <c r="B148" s="45">
        <f>SUM(B139:B147)</f>
        <v>630.17000000000007</v>
      </c>
      <c r="C148" s="46">
        <f>SUM(C139:C147)</f>
        <v>2802.4700000000003</v>
      </c>
      <c r="D148" s="47">
        <f>SUM(D139:D147)</f>
        <v>112.11000000000001</v>
      </c>
    </row>
    <row r="149" spans="1:4" s="2" customFormat="1" ht="31.5" x14ac:dyDescent="0.25">
      <c r="A149" s="64" t="s">
        <v>48</v>
      </c>
      <c r="B149" s="65" t="s">
        <v>49</v>
      </c>
      <c r="C149" s="65" t="s">
        <v>36</v>
      </c>
      <c r="D149" s="66" t="s">
        <v>37</v>
      </c>
    </row>
    <row r="150" spans="1:4" s="2" customFormat="1" ht="15.75" x14ac:dyDescent="0.25">
      <c r="A150" s="2" t="s">
        <v>38</v>
      </c>
      <c r="B150" s="48">
        <v>2896</v>
      </c>
      <c r="C150" s="46">
        <f>ROUND(B150*$B$24,0)</f>
        <v>375</v>
      </c>
      <c r="D150" s="47">
        <f>ROUND(B150*$C$24,2)</f>
        <v>15.01</v>
      </c>
    </row>
    <row r="151" spans="1:4" s="2" customFormat="1" ht="15.75" x14ac:dyDescent="0.25">
      <c r="A151" s="2" t="s">
        <v>39</v>
      </c>
      <c r="B151" s="48">
        <v>2796</v>
      </c>
      <c r="C151" s="46">
        <f>ROUND(B151*$B$24,0)</f>
        <v>362</v>
      </c>
      <c r="D151" s="47">
        <f>ROUND(B151*$C$24,2)</f>
        <v>14.49</v>
      </c>
    </row>
    <row r="152" spans="1:4" s="2" customFormat="1" ht="15.75" x14ac:dyDescent="0.25">
      <c r="A152" s="2" t="s">
        <v>40</v>
      </c>
      <c r="B152" s="48">
        <v>0</v>
      </c>
      <c r="C152" s="46">
        <f>ROUND(B152*$B$25,0)</f>
        <v>0</v>
      </c>
      <c r="D152" s="47">
        <f>ROUND(B152*$C$25,2)</f>
        <v>0</v>
      </c>
    </row>
    <row r="153" spans="1:4" s="2" customFormat="1" ht="15.75" x14ac:dyDescent="0.25">
      <c r="A153" s="2" t="s">
        <v>41</v>
      </c>
      <c r="B153" s="48">
        <v>832</v>
      </c>
      <c r="C153" s="46">
        <f>ROUND(B153*$B$25,0)</f>
        <v>47</v>
      </c>
      <c r="D153" s="47">
        <f>ROUND(B153*$C$25,2)</f>
        <v>1.86</v>
      </c>
    </row>
    <row r="154" spans="1:4" s="2" customFormat="1" ht="15.75" x14ac:dyDescent="0.25">
      <c r="A154" s="2" t="s">
        <v>42</v>
      </c>
      <c r="B154" s="48">
        <v>26626</v>
      </c>
      <c r="C154" s="46">
        <f>ROUND(B154*$B$26,0)</f>
        <v>137</v>
      </c>
      <c r="D154" s="47">
        <f>ROUND(B154*$C$26,2)</f>
        <v>5.46</v>
      </c>
    </row>
    <row r="155" spans="1:4" s="2" customFormat="1" ht="15.75" x14ac:dyDescent="0.25">
      <c r="A155" s="2" t="s">
        <v>43</v>
      </c>
      <c r="B155" s="48">
        <v>0</v>
      </c>
      <c r="C155" s="46">
        <f>ROUND(B155*$B$24,0)</f>
        <v>0</v>
      </c>
      <c r="D155" s="47">
        <f>ROUND(B155*$C$24,2)</f>
        <v>0</v>
      </c>
    </row>
    <row r="156" spans="1:4" s="2" customFormat="1" ht="15.75" x14ac:dyDescent="0.25">
      <c r="A156" s="2" t="s">
        <v>44</v>
      </c>
      <c r="B156" s="48">
        <v>0</v>
      </c>
      <c r="C156" s="46">
        <f>ROUND(B156*$B$24,0)</f>
        <v>0</v>
      </c>
      <c r="D156" s="47">
        <f>ROUND(B156*$C$24,2)</f>
        <v>0</v>
      </c>
    </row>
    <row r="157" spans="1:4" s="2" customFormat="1" ht="15.75" x14ac:dyDescent="0.25">
      <c r="A157" s="2" t="s">
        <v>45</v>
      </c>
      <c r="B157" s="48">
        <v>0</v>
      </c>
      <c r="C157" s="46">
        <f>ROUND(B157*$B$27,0)</f>
        <v>0</v>
      </c>
      <c r="D157" s="47">
        <f>ROUND(B157*$C$27,2)</f>
        <v>0</v>
      </c>
    </row>
    <row r="158" spans="1:4" s="2" customFormat="1" ht="15.75" x14ac:dyDescent="0.25">
      <c r="A158" s="2" t="s">
        <v>46</v>
      </c>
      <c r="B158" s="48">
        <v>0</v>
      </c>
      <c r="C158" s="46">
        <f>ROUND(B158*$B$24,0)</f>
        <v>0</v>
      </c>
      <c r="D158" s="47">
        <f>ROUND(B158*$C$24,2)</f>
        <v>0</v>
      </c>
    </row>
    <row r="159" spans="1:4" s="2" customFormat="1" ht="15.75" x14ac:dyDescent="0.25">
      <c r="A159" s="2" t="s">
        <v>50</v>
      </c>
      <c r="B159" s="48">
        <f>SUM(B150:B158)</f>
        <v>33150</v>
      </c>
      <c r="C159" s="46">
        <f>SUM(C150:C158)</f>
        <v>921</v>
      </c>
      <c r="D159" s="47">
        <f>SUM(D150:D158)</f>
        <v>36.82</v>
      </c>
    </row>
    <row r="160" spans="1:4" s="2" customFormat="1" ht="15.75" x14ac:dyDescent="0.25">
      <c r="A160" s="54" t="s">
        <v>51</v>
      </c>
      <c r="B160" s="205" t="s">
        <v>215</v>
      </c>
      <c r="C160" s="55">
        <f>C148+C159</f>
        <v>3723.4700000000003</v>
      </c>
      <c r="D160" s="56">
        <f>D148+D159</f>
        <v>148.93</v>
      </c>
    </row>
    <row r="161" spans="1:4" s="2" customFormat="1" ht="15.75" x14ac:dyDescent="0.25">
      <c r="A161" s="2" t="s">
        <v>203</v>
      </c>
      <c r="B161" s="214"/>
      <c r="C161" s="46"/>
      <c r="D161" s="47"/>
    </row>
    <row r="162" spans="1:4" s="2" customFormat="1" ht="15.75" x14ac:dyDescent="0.25">
      <c r="B162" s="49"/>
      <c r="C162" s="50"/>
      <c r="D162" s="47"/>
    </row>
    <row r="163" spans="1:4" s="2" customFormat="1" ht="15.75" x14ac:dyDescent="0.25">
      <c r="A163" s="18" t="s">
        <v>197</v>
      </c>
      <c r="B163" s="51"/>
      <c r="C163" s="52"/>
      <c r="D163" s="53"/>
    </row>
    <row r="164" spans="1:4" s="2" customFormat="1" ht="31.5" x14ac:dyDescent="0.25">
      <c r="A164" s="64" t="s">
        <v>34</v>
      </c>
      <c r="B164" s="65" t="s">
        <v>35</v>
      </c>
      <c r="C164" s="65" t="s">
        <v>36</v>
      </c>
      <c r="D164" s="66" t="s">
        <v>37</v>
      </c>
    </row>
    <row r="165" spans="1:4" s="2" customFormat="1" ht="15.75" x14ac:dyDescent="0.25">
      <c r="A165" s="2" t="s">
        <v>38</v>
      </c>
      <c r="B165" s="45">
        <v>106.44999999999999</v>
      </c>
      <c r="C165" s="46">
        <f>ROUND(B165*$B$20,2)</f>
        <v>2159.02</v>
      </c>
      <c r="D165" s="47">
        <f>ROUND(B165*$C$20,2)</f>
        <v>86.36</v>
      </c>
    </row>
    <row r="166" spans="1:4" s="2" customFormat="1" ht="15.75" x14ac:dyDescent="0.25">
      <c r="A166" s="2" t="s">
        <v>39</v>
      </c>
      <c r="B166" s="45">
        <v>328.6</v>
      </c>
      <c r="C166" s="46">
        <f>ROUND(B166*$B$20,2)</f>
        <v>6664.66</v>
      </c>
      <c r="D166" s="47">
        <f>ROUND(B166*$C$20,2)</f>
        <v>266.58999999999997</v>
      </c>
    </row>
    <row r="167" spans="1:4" s="2" customFormat="1" ht="15.75" x14ac:dyDescent="0.25">
      <c r="A167" s="2" t="s">
        <v>40</v>
      </c>
      <c r="B167" s="45">
        <v>0</v>
      </c>
      <c r="C167" s="46">
        <f>ROUND(B167*$B$21,0)</f>
        <v>0</v>
      </c>
      <c r="D167" s="47">
        <f>ROUND(B167*$C$21,2)</f>
        <v>0</v>
      </c>
    </row>
    <row r="168" spans="1:4" s="2" customFormat="1" ht="15.75" x14ac:dyDescent="0.25">
      <c r="A168" s="2" t="s">
        <v>41</v>
      </c>
      <c r="B168" s="45">
        <v>372.52</v>
      </c>
      <c r="C168" s="46">
        <f>ROUND(B168*$B$21,0)</f>
        <v>672</v>
      </c>
      <c r="D168" s="47">
        <f>ROUND(B168*$C$21,2)</f>
        <v>26.88</v>
      </c>
    </row>
    <row r="169" spans="1:4" s="2" customFormat="1" ht="15.75" x14ac:dyDescent="0.25">
      <c r="A169" s="2" t="s">
        <v>42</v>
      </c>
      <c r="B169" s="45">
        <v>2306.4700000000003</v>
      </c>
      <c r="C169" s="46">
        <f>ROUND(B169*$B$22,0)</f>
        <v>497</v>
      </c>
      <c r="D169" s="47">
        <f>ROUND(B169*$C$22,2)</f>
        <v>19.89</v>
      </c>
    </row>
    <row r="170" spans="1:4" s="2" customFormat="1" ht="15.75" x14ac:dyDescent="0.25">
      <c r="A170" s="2" t="s">
        <v>43</v>
      </c>
      <c r="B170" s="45">
        <v>213.5</v>
      </c>
      <c r="C170" s="46">
        <f>ROUND(B170*$B$19,0)</f>
        <v>6120</v>
      </c>
      <c r="D170" s="47">
        <f>ROUND(B170*$C$19,2)</f>
        <v>244.78</v>
      </c>
    </row>
    <row r="171" spans="1:4" s="2" customFormat="1" ht="15.75" x14ac:dyDescent="0.25">
      <c r="A171" s="2" t="s">
        <v>44</v>
      </c>
      <c r="B171" s="45">
        <v>0</v>
      </c>
      <c r="C171" s="46">
        <f>ROUND(B171*$B$19,0)</f>
        <v>0</v>
      </c>
      <c r="D171" s="47">
        <f>ROUND(B171*$C$19,2)</f>
        <v>0</v>
      </c>
    </row>
    <row r="172" spans="1:4" s="2" customFormat="1" ht="15.75" x14ac:dyDescent="0.25">
      <c r="A172" s="2" t="s">
        <v>45</v>
      </c>
      <c r="B172" s="45">
        <v>0</v>
      </c>
      <c r="C172" s="46">
        <f>ROUND(B172*$B$19,0)</f>
        <v>0</v>
      </c>
      <c r="D172" s="47">
        <f>ROUND(B172*$C$19,2)</f>
        <v>0</v>
      </c>
    </row>
    <row r="173" spans="1:4" s="2" customFormat="1" ht="15.75" x14ac:dyDescent="0.25">
      <c r="A173" s="2" t="s">
        <v>46</v>
      </c>
      <c r="B173" s="45">
        <v>0</v>
      </c>
      <c r="C173" s="46">
        <f>ROUND(B173*$B$20,0)</f>
        <v>0</v>
      </c>
      <c r="D173" s="47">
        <f>ROUND(B173*$C$20,2)</f>
        <v>0</v>
      </c>
    </row>
    <row r="174" spans="1:4" s="2" customFormat="1" ht="15.75" x14ac:dyDescent="0.25">
      <c r="A174" s="2" t="s">
        <v>47</v>
      </c>
      <c r="B174" s="45">
        <f>SUM(B165:B173)</f>
        <v>3327.54</v>
      </c>
      <c r="C174" s="46">
        <f>SUM(C165:C173)</f>
        <v>16112.68</v>
      </c>
      <c r="D174" s="47">
        <f>SUM(D165:D173)</f>
        <v>644.5</v>
      </c>
    </row>
    <row r="175" spans="1:4" s="2" customFormat="1" ht="31.5" x14ac:dyDescent="0.25">
      <c r="A175" s="64" t="s">
        <v>48</v>
      </c>
      <c r="B175" s="65" t="s">
        <v>49</v>
      </c>
      <c r="C175" s="65" t="s">
        <v>36</v>
      </c>
      <c r="D175" s="66" t="s">
        <v>37</v>
      </c>
    </row>
    <row r="176" spans="1:4" s="2" customFormat="1" ht="15.75" x14ac:dyDescent="0.25">
      <c r="A176" s="2" t="s">
        <v>38</v>
      </c>
      <c r="B176" s="48">
        <v>10449</v>
      </c>
      <c r="C176" s="46">
        <f>ROUND(B176*$B$24,0)</f>
        <v>1354</v>
      </c>
      <c r="D176" s="47">
        <f>ROUND(B176*$C$24,2)</f>
        <v>54.17</v>
      </c>
    </row>
    <row r="177" spans="1:4" s="2" customFormat="1" ht="15.75" x14ac:dyDescent="0.25">
      <c r="A177" s="2" t="s">
        <v>39</v>
      </c>
      <c r="B177" s="48">
        <v>4648</v>
      </c>
      <c r="C177" s="46">
        <f>ROUND(B177*$B$24,0)</f>
        <v>602</v>
      </c>
      <c r="D177" s="47">
        <f>ROUND(B177*$C$24,2)</f>
        <v>24.1</v>
      </c>
    </row>
    <row r="178" spans="1:4" s="2" customFormat="1" ht="15.75" x14ac:dyDescent="0.25">
      <c r="A178" s="2" t="s">
        <v>40</v>
      </c>
      <c r="B178" s="48">
        <v>0</v>
      </c>
      <c r="C178" s="46">
        <f>ROUND(B178*$B$25,0)</f>
        <v>0</v>
      </c>
      <c r="D178" s="47">
        <f>ROUND(B178*$C$25,2)</f>
        <v>0</v>
      </c>
    </row>
    <row r="179" spans="1:4" s="2" customFormat="1" ht="15.75" x14ac:dyDescent="0.25">
      <c r="A179" s="2" t="s">
        <v>41</v>
      </c>
      <c r="B179" s="48">
        <v>17893</v>
      </c>
      <c r="C179" s="46">
        <f>ROUND(B179*$B$25,0)</f>
        <v>1002</v>
      </c>
      <c r="D179" s="47">
        <f>ROUND(B179*$C$25,2)</f>
        <v>40.06</v>
      </c>
    </row>
    <row r="180" spans="1:4" s="2" customFormat="1" ht="15.75" x14ac:dyDescent="0.25">
      <c r="A180" s="2" t="s">
        <v>42</v>
      </c>
      <c r="B180" s="48">
        <v>177874</v>
      </c>
      <c r="C180" s="46">
        <f>ROUND(B180*$B$26,0)</f>
        <v>914</v>
      </c>
      <c r="D180" s="47">
        <f>ROUND(B180*$C$26,2)</f>
        <v>36.46</v>
      </c>
    </row>
    <row r="181" spans="1:4" s="2" customFormat="1" ht="15.75" x14ac:dyDescent="0.25">
      <c r="A181" s="2" t="s">
        <v>43</v>
      </c>
      <c r="B181" s="48">
        <v>7</v>
      </c>
      <c r="C181" s="46">
        <f>ROUND(B181*$B$24,0)</f>
        <v>1</v>
      </c>
      <c r="D181" s="47">
        <f>ROUND(B181*$C$24,2)</f>
        <v>0.04</v>
      </c>
    </row>
    <row r="182" spans="1:4" s="2" customFormat="1" ht="15.75" x14ac:dyDescent="0.25">
      <c r="A182" s="2" t="s">
        <v>44</v>
      </c>
      <c r="B182" s="48">
        <v>0</v>
      </c>
      <c r="C182" s="46">
        <f>ROUND(B182*$B$24,0)</f>
        <v>0</v>
      </c>
      <c r="D182" s="47">
        <f>ROUND(B182*$C$24,2)</f>
        <v>0</v>
      </c>
    </row>
    <row r="183" spans="1:4" s="2" customFormat="1" ht="15.75" x14ac:dyDescent="0.25">
      <c r="A183" s="2" t="s">
        <v>45</v>
      </c>
      <c r="B183" s="48">
        <v>328</v>
      </c>
      <c r="C183" s="46">
        <f>ROUND(B183*$B$27,0)</f>
        <v>40</v>
      </c>
      <c r="D183" s="47">
        <f>ROUND(B183*$C$27,2)</f>
        <v>1.6</v>
      </c>
    </row>
    <row r="184" spans="1:4" s="2" customFormat="1" ht="15.75" x14ac:dyDescent="0.25">
      <c r="A184" s="2" t="s">
        <v>46</v>
      </c>
      <c r="B184" s="48">
        <v>0</v>
      </c>
      <c r="C184" s="46">
        <f>ROUND(B184*$B$24,0)</f>
        <v>0</v>
      </c>
      <c r="D184" s="47">
        <f>ROUND(B184*$C$24,2)</f>
        <v>0</v>
      </c>
    </row>
    <row r="185" spans="1:4" s="2" customFormat="1" ht="15.75" x14ac:dyDescent="0.25">
      <c r="A185" s="2" t="s">
        <v>50</v>
      </c>
      <c r="B185" s="48">
        <f>SUM(B176:B184)</f>
        <v>211199</v>
      </c>
      <c r="C185" s="46">
        <f>SUM(C176:C184)</f>
        <v>3913</v>
      </c>
      <c r="D185" s="47">
        <f>SUM(D176:D184)</f>
        <v>156.43</v>
      </c>
    </row>
    <row r="186" spans="1:4" s="2" customFormat="1" ht="15.75" x14ac:dyDescent="0.25">
      <c r="A186" s="2" t="s">
        <v>51</v>
      </c>
      <c r="B186" s="205" t="s">
        <v>215</v>
      </c>
      <c r="C186" s="46">
        <f>C174+C185</f>
        <v>20025.68</v>
      </c>
      <c r="D186" s="47">
        <f>D174+D185</f>
        <v>800.93000000000006</v>
      </c>
    </row>
    <row r="187" spans="1:4" s="2" customFormat="1" ht="15.75" x14ac:dyDescent="0.25">
      <c r="A187" s="2" t="s">
        <v>203</v>
      </c>
      <c r="B187" s="214"/>
      <c r="C187" s="46"/>
      <c r="D187" s="47"/>
    </row>
    <row r="188" spans="1:4" s="2" customFormat="1" ht="15.75" x14ac:dyDescent="0.25">
      <c r="A188" s="2" t="s">
        <v>4</v>
      </c>
    </row>
    <row r="189" spans="1:4" s="2" customFormat="1" ht="15.75" x14ac:dyDescent="0.25"/>
    <row r="190" spans="1:4" s="2" customFormat="1" ht="15.75" x14ac:dyDescent="0.25"/>
    <row r="191" spans="1:4" s="2" customFormat="1" ht="15.75" x14ac:dyDescent="0.25"/>
    <row r="192" spans="1:4" s="2" customFormat="1" ht="15.75" x14ac:dyDescent="0.25"/>
    <row r="193" s="2" customFormat="1" ht="15.75" x14ac:dyDescent="0.25"/>
    <row r="194" s="2" customFormat="1" ht="15.75" x14ac:dyDescent="0.25"/>
  </sheetData>
  <pageMargins left="0.5" right="0.5" top="0.5" bottom="0.25" header="0.3" footer="0.3"/>
  <pageSetup scale="46" fitToHeight="0" orientation="portrait" r:id="rId1"/>
  <headerFooter>
    <oddFooter>&amp;R&amp;P</oddFooter>
  </headerFooter>
  <rowBreaks count="1" manualBreakCount="1">
    <brk id="84" max="16383" man="1"/>
  </rowBreaks>
  <tableParts count="1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B14D5-1385-4454-BFE9-B058BCA4A6ED}">
  <dimension ref="A1:P16"/>
  <sheetViews>
    <sheetView workbookViewId="0"/>
  </sheetViews>
  <sheetFormatPr defaultColWidth="9.140625" defaultRowHeight="15" x14ac:dyDescent="0.25"/>
  <cols>
    <col min="1" max="1" width="43.42578125" style="1" customWidth="1"/>
    <col min="2" max="2" width="13" style="1" customWidth="1"/>
    <col min="3" max="4" width="46.7109375" style="1" customWidth="1"/>
    <col min="5" max="5" width="5.28515625" style="1" customWidth="1"/>
    <col min="6" max="6" width="19.85546875" style="1" customWidth="1"/>
    <col min="7" max="8" width="13.85546875" style="1" customWidth="1"/>
    <col min="9" max="9" width="14.140625" style="1" customWidth="1"/>
    <col min="10" max="16384" width="9.140625" style="1"/>
  </cols>
  <sheetData>
    <row r="1" spans="1:16" ht="21" x14ac:dyDescent="0.25">
      <c r="A1" s="4" t="s">
        <v>53</v>
      </c>
    </row>
    <row r="2" spans="1:16" ht="21" x14ac:dyDescent="0.25">
      <c r="A2" s="4" t="s">
        <v>54</v>
      </c>
    </row>
    <row r="3" spans="1:16" ht="13.5" customHeight="1" x14ac:dyDescent="0.35">
      <c r="B3" s="5"/>
      <c r="C3" s="5"/>
      <c r="E3" s="5"/>
    </row>
    <row r="4" spans="1:16" ht="30" x14ac:dyDescent="0.25">
      <c r="A4" s="72" t="s">
        <v>8</v>
      </c>
      <c r="B4" s="73" t="s">
        <v>52</v>
      </c>
      <c r="C4" s="74" t="s">
        <v>55</v>
      </c>
      <c r="D4" s="75" t="s">
        <v>56</v>
      </c>
      <c r="P4" s="6"/>
    </row>
    <row r="5" spans="1:16" x14ac:dyDescent="0.25">
      <c r="A5" s="68" t="s">
        <v>57</v>
      </c>
      <c r="B5" s="11" t="s">
        <v>52</v>
      </c>
      <c r="C5" s="9">
        <f t="shared" ref="C5:C10" si="0">D5*$B$14</f>
        <v>142333.42180256918</v>
      </c>
      <c r="D5" s="15">
        <v>5693.3368721027673</v>
      </c>
      <c r="P5" s="7"/>
    </row>
    <row r="6" spans="1:16" x14ac:dyDescent="0.25">
      <c r="A6" s="1" t="s">
        <v>58</v>
      </c>
      <c r="B6" s="12" t="s">
        <v>52</v>
      </c>
      <c r="C6" s="9">
        <f t="shared" si="0"/>
        <v>31513.455308236695</v>
      </c>
      <c r="D6" s="15">
        <v>1260.5382123294678</v>
      </c>
      <c r="P6" s="7"/>
    </row>
    <row r="7" spans="1:16" x14ac:dyDescent="0.25">
      <c r="A7" s="1" t="s">
        <v>59</v>
      </c>
      <c r="B7" s="12" t="s">
        <v>52</v>
      </c>
      <c r="C7" s="9">
        <f t="shared" si="0"/>
        <v>3379.6387636226527</v>
      </c>
      <c r="D7" s="15">
        <v>135.18555054490611</v>
      </c>
      <c r="P7" s="7"/>
    </row>
    <row r="8" spans="1:16" x14ac:dyDescent="0.25">
      <c r="A8" s="1" t="s">
        <v>60</v>
      </c>
      <c r="B8" s="12" t="s">
        <v>52</v>
      </c>
      <c r="C8" s="9">
        <f t="shared" si="0"/>
        <v>1509.4564757437968</v>
      </c>
      <c r="D8" s="15">
        <v>60.378259029751874</v>
      </c>
      <c r="J8" s="6"/>
      <c r="P8" s="7"/>
    </row>
    <row r="9" spans="1:16" ht="14.1" customHeight="1" x14ac:dyDescent="0.25">
      <c r="A9" s="1" t="s">
        <v>61</v>
      </c>
      <c r="B9" s="12" t="s">
        <v>52</v>
      </c>
      <c r="C9" s="10">
        <f t="shared" si="0"/>
        <v>5415.9575502698308</v>
      </c>
      <c r="D9" s="69">
        <v>216.63830201079324</v>
      </c>
      <c r="J9" s="6"/>
      <c r="P9" s="7"/>
    </row>
    <row r="10" spans="1:16" x14ac:dyDescent="0.25">
      <c r="A10" s="1" t="s">
        <v>62</v>
      </c>
      <c r="B10" s="13" t="s">
        <v>52</v>
      </c>
      <c r="C10" s="9">
        <f t="shared" si="0"/>
        <v>25368.535931742274</v>
      </c>
      <c r="D10" s="15">
        <v>1014.7414372696909</v>
      </c>
      <c r="J10" s="6"/>
      <c r="P10" s="7"/>
    </row>
    <row r="11" spans="1:16" ht="17.100000000000001" customHeight="1" x14ac:dyDescent="0.25">
      <c r="A11" s="16" t="s">
        <v>18</v>
      </c>
      <c r="B11" s="70" t="s">
        <v>52</v>
      </c>
      <c r="C11" s="8">
        <f>SUM(C5:C10)</f>
        <v>209520.46583218445</v>
      </c>
      <c r="D11" s="71">
        <f>SUM(D5:D10)</f>
        <v>8380.8186332873756</v>
      </c>
      <c r="P11" s="7"/>
    </row>
    <row r="12" spans="1:16" ht="17.100000000000001" customHeight="1" x14ac:dyDescent="0.25">
      <c r="A12" s="217" t="s">
        <v>203</v>
      </c>
      <c r="B12" s="218"/>
      <c r="C12" s="219"/>
      <c r="D12" s="15"/>
      <c r="P12" s="7"/>
    </row>
    <row r="13" spans="1:16" x14ac:dyDescent="0.25">
      <c r="P13" s="7"/>
    </row>
    <row r="14" spans="1:16" x14ac:dyDescent="0.25">
      <c r="A14" s="14" t="s">
        <v>32</v>
      </c>
      <c r="B14" s="76">
        <v>25</v>
      </c>
    </row>
    <row r="15" spans="1:16" x14ac:dyDescent="0.25">
      <c r="A15" s="1" t="s">
        <v>33</v>
      </c>
    </row>
    <row r="16" spans="1:16" x14ac:dyDescent="0.25">
      <c r="A16" s="1" t="s">
        <v>4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C9955-F8A1-477A-A82D-D32D0E480C61}">
  <sheetPr>
    <pageSetUpPr fitToPage="1"/>
  </sheetPr>
  <dimension ref="A1:AG189"/>
  <sheetViews>
    <sheetView zoomScaleNormal="100" workbookViewId="0"/>
  </sheetViews>
  <sheetFormatPr defaultColWidth="9.140625" defaultRowHeight="15.75" x14ac:dyDescent="0.25"/>
  <cols>
    <col min="1" max="1" width="39.42578125" style="2" bestFit="1" customWidth="1"/>
    <col min="2" max="2" width="18.85546875" style="2" customWidth="1"/>
    <col min="3" max="7" width="19.28515625" style="2" bestFit="1" customWidth="1"/>
    <col min="8" max="8" width="6" style="2" customWidth="1"/>
    <col min="9" max="9" width="39.42578125" style="2" customWidth="1"/>
    <col min="10" max="10" width="27.140625" style="2" customWidth="1"/>
    <col min="11" max="11" width="15" style="2" customWidth="1"/>
    <col min="12" max="12" width="18.5703125" style="2" customWidth="1"/>
    <col min="13" max="13" width="26.5703125" style="2" customWidth="1"/>
    <col min="14" max="14" width="16.5703125" style="2" customWidth="1"/>
    <col min="15" max="15" width="13.140625" style="2" customWidth="1"/>
    <col min="16" max="16" width="2.5703125" style="2" customWidth="1"/>
    <col min="17" max="17" width="33.5703125" style="2" customWidth="1"/>
    <col min="18" max="23" width="21.5703125" style="2" customWidth="1"/>
    <col min="24" max="24" width="3.7109375" style="2" customWidth="1"/>
    <col min="25" max="25" width="38.85546875" style="2" customWidth="1"/>
    <col min="26" max="32" width="21.140625" style="2" bestFit="1" customWidth="1"/>
    <col min="33" max="33" width="11.7109375" style="2" customWidth="1"/>
    <col min="34" max="16384" width="9.140625" style="2"/>
  </cols>
  <sheetData>
    <row r="1" spans="1:29" ht="21" x14ac:dyDescent="0.25">
      <c r="A1" s="4" t="s">
        <v>63</v>
      </c>
      <c r="B1" s="19"/>
      <c r="C1" s="19"/>
      <c r="D1" s="19"/>
      <c r="E1" s="19"/>
      <c r="F1" s="19"/>
      <c r="G1" s="19"/>
      <c r="H1" s="19"/>
      <c r="I1" s="19"/>
      <c r="K1" s="19"/>
      <c r="L1" s="19"/>
      <c r="M1" s="19"/>
      <c r="N1" s="19"/>
      <c r="O1" s="19"/>
      <c r="P1" s="19"/>
      <c r="Q1" s="19"/>
      <c r="S1" s="19"/>
      <c r="T1" s="19"/>
      <c r="U1" s="19"/>
      <c r="V1" s="19"/>
      <c r="W1" s="19"/>
    </row>
    <row r="2" spans="1:29" x14ac:dyDescent="0.25">
      <c r="A2" s="201" t="s">
        <v>206</v>
      </c>
      <c r="B2" s="19"/>
      <c r="C2" s="19"/>
      <c r="D2" s="19"/>
      <c r="E2" s="19"/>
      <c r="F2" s="19"/>
      <c r="G2" s="19"/>
      <c r="H2" s="19"/>
      <c r="I2" s="19"/>
      <c r="K2" s="19"/>
      <c r="L2" s="19"/>
      <c r="M2" s="19"/>
      <c r="N2" s="19"/>
      <c r="O2" s="19"/>
      <c r="P2" s="19"/>
      <c r="Q2" s="19"/>
      <c r="S2" s="19"/>
      <c r="T2" s="19"/>
      <c r="U2" s="19"/>
      <c r="V2" s="19"/>
      <c r="W2" s="19"/>
    </row>
    <row r="3" spans="1:29" x14ac:dyDescent="0.25">
      <c r="A3" s="201" t="s">
        <v>207</v>
      </c>
      <c r="B3" s="19"/>
      <c r="C3" s="19"/>
      <c r="D3" s="19"/>
      <c r="E3" s="19"/>
      <c r="F3" s="19"/>
      <c r="G3" s="19"/>
      <c r="H3" s="19"/>
      <c r="I3" s="19"/>
      <c r="K3" s="19"/>
      <c r="L3" s="19"/>
      <c r="M3" s="19"/>
      <c r="N3" s="19"/>
      <c r="O3" s="19"/>
      <c r="P3" s="19"/>
      <c r="Q3" s="19"/>
      <c r="S3" s="19"/>
      <c r="T3" s="19"/>
      <c r="U3" s="19"/>
      <c r="V3" s="19"/>
      <c r="W3" s="19"/>
    </row>
    <row r="4" spans="1:29" x14ac:dyDescent="0.25">
      <c r="A4" s="137" t="s">
        <v>64</v>
      </c>
      <c r="B4" s="19"/>
      <c r="C4" s="19"/>
      <c r="D4" s="19"/>
      <c r="E4" s="19"/>
      <c r="F4" s="19"/>
      <c r="G4" s="19"/>
      <c r="H4" s="19"/>
      <c r="I4" s="19"/>
      <c r="K4" s="19"/>
      <c r="L4" s="19"/>
      <c r="M4" s="19"/>
      <c r="N4" s="19"/>
      <c r="O4" s="19"/>
      <c r="P4" s="19"/>
      <c r="Q4" s="19"/>
      <c r="S4" s="19"/>
      <c r="T4" s="19"/>
      <c r="U4" s="19"/>
      <c r="V4" s="19"/>
      <c r="W4" s="19"/>
    </row>
    <row r="5" spans="1:29" x14ac:dyDescent="0.25">
      <c r="A5" s="137"/>
      <c r="J5" s="77"/>
      <c r="T5" s="20"/>
      <c r="U5" s="20"/>
      <c r="V5" s="20"/>
      <c r="W5" s="20"/>
      <c r="X5" s="20"/>
      <c r="Y5" s="20"/>
      <c r="Z5" s="20"/>
      <c r="AA5" s="20"/>
      <c r="AB5" s="20"/>
      <c r="AC5" s="20"/>
    </row>
    <row r="6" spans="1:29" ht="19.5" thickBot="1" x14ac:dyDescent="0.35">
      <c r="A6" s="3" t="s">
        <v>65</v>
      </c>
      <c r="B6" s="18"/>
      <c r="C6" s="18"/>
      <c r="D6" s="18"/>
      <c r="E6" s="18"/>
      <c r="F6" s="18"/>
      <c r="G6" s="18"/>
      <c r="I6" s="78" t="s">
        <v>66</v>
      </c>
      <c r="L6" s="78" t="s">
        <v>67</v>
      </c>
      <c r="T6" s="20"/>
      <c r="U6" s="20"/>
      <c r="V6" s="20"/>
      <c r="W6" s="20"/>
      <c r="X6" s="20"/>
      <c r="Y6" s="20"/>
      <c r="Z6" s="20"/>
      <c r="AA6" s="20"/>
      <c r="AB6" s="20"/>
      <c r="AC6" s="20"/>
    </row>
    <row r="7" spans="1:29" ht="47.25" x14ac:dyDescent="0.25">
      <c r="A7" s="106" t="s">
        <v>68</v>
      </c>
      <c r="B7" s="65" t="s">
        <v>198</v>
      </c>
      <c r="C7" s="116" t="s">
        <v>69</v>
      </c>
      <c r="D7" s="117" t="s">
        <v>70</v>
      </c>
      <c r="E7" s="117" t="s">
        <v>71</v>
      </c>
      <c r="F7" s="117" t="s">
        <v>72</v>
      </c>
      <c r="G7" s="117" t="s">
        <v>73</v>
      </c>
      <c r="I7" s="107" t="s">
        <v>74</v>
      </c>
      <c r="J7" s="37" t="s">
        <v>23</v>
      </c>
      <c r="L7" s="78" t="s">
        <v>74</v>
      </c>
      <c r="M7" s="111" t="s">
        <v>75</v>
      </c>
      <c r="R7" s="44"/>
      <c r="T7" s="21"/>
      <c r="U7" s="79"/>
      <c r="V7" s="21"/>
      <c r="W7" s="21"/>
      <c r="X7" s="20"/>
      <c r="Y7" s="20"/>
      <c r="Z7" s="144"/>
      <c r="AA7" s="144"/>
      <c r="AB7" s="144"/>
      <c r="AC7" s="144"/>
    </row>
    <row r="8" spans="1:29" ht="14.45" customHeight="1" x14ac:dyDescent="0.25">
      <c r="A8" s="59" t="s">
        <v>12</v>
      </c>
      <c r="B8" s="80">
        <f t="shared" ref="B8:G8" si="0">R49</f>
        <v>5693.3368721027673</v>
      </c>
      <c r="C8" s="118">
        <f t="shared" si="0"/>
        <v>5501.6328522174035</v>
      </c>
      <c r="D8" s="118">
        <f t="shared" si="0"/>
        <v>5330.9621775047035</v>
      </c>
      <c r="E8" s="118">
        <f t="shared" si="0"/>
        <v>5160.2915027920035</v>
      </c>
      <c r="F8" s="118">
        <f t="shared" si="0"/>
        <v>4990.7492488918497</v>
      </c>
      <c r="G8" s="118">
        <f t="shared" si="0"/>
        <v>4821.206994991695</v>
      </c>
      <c r="I8" s="32" t="s">
        <v>76</v>
      </c>
      <c r="J8" s="108">
        <f>ROUND(M8*$J$19,16)</f>
        <v>1.15726816887904</v>
      </c>
      <c r="L8" s="59" t="s">
        <v>24</v>
      </c>
      <c r="M8" s="112">
        <v>1157.2681688790399</v>
      </c>
      <c r="O8" s="81"/>
      <c r="Z8" s="144"/>
      <c r="AA8" s="144"/>
      <c r="AB8" s="144"/>
      <c r="AC8" s="144"/>
    </row>
    <row r="9" spans="1:29" ht="14.45" customHeight="1" x14ac:dyDescent="0.25">
      <c r="A9" s="2" t="s">
        <v>13</v>
      </c>
      <c r="B9" s="82">
        <f t="shared" ref="B9:G9" si="1">R77</f>
        <v>1260.5382123294678</v>
      </c>
      <c r="C9" s="119">
        <f t="shared" si="1"/>
        <v>1183.3352339433991</v>
      </c>
      <c r="D9" s="119">
        <f t="shared" si="1"/>
        <v>1106.1322555573302</v>
      </c>
      <c r="E9" s="119">
        <f t="shared" si="1"/>
        <v>1025.7807695683616</v>
      </c>
      <c r="F9" s="119">
        <f t="shared" si="1"/>
        <v>945.42928357939331</v>
      </c>
      <c r="G9" s="119">
        <f t="shared" si="1"/>
        <v>865.07779759042478</v>
      </c>
      <c r="I9" s="32" t="s">
        <v>77</v>
      </c>
      <c r="J9" s="108">
        <f>ROUND(M9*$J$19,16)</f>
        <v>0.86132462545737998</v>
      </c>
      <c r="L9" s="59" t="s">
        <v>25</v>
      </c>
      <c r="M9" s="113">
        <v>861.32462545737997</v>
      </c>
      <c r="O9" s="81"/>
      <c r="Z9" s="20"/>
      <c r="AA9" s="20"/>
      <c r="AB9" s="20"/>
      <c r="AC9" s="20"/>
    </row>
    <row r="10" spans="1:29" x14ac:dyDescent="0.25">
      <c r="A10" s="2" t="s">
        <v>78</v>
      </c>
      <c r="B10" s="82">
        <f>R103</f>
        <v>135.18555054490611</v>
      </c>
      <c r="C10" s="119">
        <f>S103</f>
        <v>116.67456223306985</v>
      </c>
      <c r="D10" s="119">
        <f>T103</f>
        <v>105.73101696036522</v>
      </c>
      <c r="E10" s="120">
        <f>U103</f>
        <v>94.785269965626895</v>
      </c>
      <c r="F10" s="121" t="s">
        <v>79</v>
      </c>
      <c r="G10" s="121" t="s">
        <v>80</v>
      </c>
      <c r="I10" s="32" t="s">
        <v>26</v>
      </c>
      <c r="J10" s="108">
        <f>ROUND(M10*$J$19,16)</f>
        <v>9.6748918635804301E-2</v>
      </c>
      <c r="L10" s="59" t="s">
        <v>26</v>
      </c>
      <c r="M10" s="113">
        <v>96.748918635804273</v>
      </c>
      <c r="O10" s="81"/>
      <c r="Z10" s="20"/>
      <c r="AA10" s="20"/>
      <c r="AB10" s="20"/>
      <c r="AC10" s="20"/>
    </row>
    <row r="11" spans="1:29" ht="16.5" thickBot="1" x14ac:dyDescent="0.3">
      <c r="A11" s="2" t="s">
        <v>15</v>
      </c>
      <c r="B11" s="82">
        <f t="shared" ref="B11:G11" si="2">R129</f>
        <v>60.378259029751874</v>
      </c>
      <c r="C11" s="119">
        <f t="shared" si="2"/>
        <v>53.028258240666403</v>
      </c>
      <c r="D11" s="119">
        <f t="shared" si="2"/>
        <v>46.490588515979525</v>
      </c>
      <c r="E11" s="119">
        <f t="shared" si="2"/>
        <v>38.690208395079871</v>
      </c>
      <c r="F11" s="119">
        <f t="shared" si="2"/>
        <v>30.519450709359706</v>
      </c>
      <c r="G11" s="119">
        <f t="shared" si="2"/>
        <v>25.555877948143426</v>
      </c>
      <c r="I11" s="32" t="s">
        <v>27</v>
      </c>
      <c r="J11" s="108">
        <f>ROUND(M11*$J$19,16)</f>
        <v>2.88473563334035E-2</v>
      </c>
      <c r="L11" s="59" t="s">
        <v>27</v>
      </c>
      <c r="M11" s="113">
        <v>28.847356333403471</v>
      </c>
      <c r="T11" s="21"/>
      <c r="U11" s="79"/>
      <c r="V11" s="21"/>
      <c r="W11" s="21"/>
      <c r="X11" s="20"/>
      <c r="Y11" s="83"/>
      <c r="Z11" s="20"/>
      <c r="AA11" s="20"/>
      <c r="AB11" s="20"/>
      <c r="AC11" s="20"/>
    </row>
    <row r="12" spans="1:29" x14ac:dyDescent="0.25">
      <c r="A12" s="2" t="s">
        <v>16</v>
      </c>
      <c r="B12" s="84">
        <f t="shared" ref="B12:G12" si="3">R155</f>
        <v>216.63830201079324</v>
      </c>
      <c r="C12" s="119">
        <f t="shared" si="3"/>
        <v>201.10181719356646</v>
      </c>
      <c r="D12" s="119">
        <f t="shared" si="3"/>
        <v>186.42923115075854</v>
      </c>
      <c r="E12" s="119">
        <f t="shared" si="3"/>
        <v>166.42281924432933</v>
      </c>
      <c r="F12" s="119">
        <f t="shared" si="3"/>
        <v>148.63193708352682</v>
      </c>
      <c r="G12" s="119">
        <f t="shared" si="3"/>
        <v>126.85678521263745</v>
      </c>
      <c r="I12" s="107" t="s">
        <v>28</v>
      </c>
      <c r="J12" s="37" t="s">
        <v>30</v>
      </c>
      <c r="L12" s="78" t="s">
        <v>28</v>
      </c>
      <c r="M12" s="114" t="s">
        <v>81</v>
      </c>
      <c r="T12" s="21"/>
      <c r="U12" s="79"/>
      <c r="V12" s="21"/>
      <c r="W12" s="21"/>
      <c r="X12" s="20"/>
      <c r="Y12" s="20"/>
      <c r="Z12" s="20"/>
      <c r="AA12" s="20"/>
      <c r="AB12" s="20"/>
      <c r="AC12" s="20"/>
    </row>
    <row r="13" spans="1:29" x14ac:dyDescent="0.25">
      <c r="A13" s="2" t="s">
        <v>17</v>
      </c>
      <c r="B13" s="85">
        <f t="shared" ref="B13:G13" si="4">R181</f>
        <v>1014.7414372696909</v>
      </c>
      <c r="C13" s="119">
        <f t="shared" si="4"/>
        <v>930.89958133932078</v>
      </c>
      <c r="D13" s="119">
        <f t="shared" si="4"/>
        <v>847.057725408951</v>
      </c>
      <c r="E13" s="119">
        <f t="shared" si="4"/>
        <v>763.21586947858111</v>
      </c>
      <c r="F13" s="119">
        <f t="shared" si="4"/>
        <v>679.374013548211</v>
      </c>
      <c r="G13" s="119">
        <f t="shared" si="4"/>
        <v>595.53215761784122</v>
      </c>
      <c r="I13" s="32" t="s">
        <v>82</v>
      </c>
      <c r="J13" s="109">
        <f>ROUND(M13*$J$19,18)</f>
        <v>1.44866574602956E-2</v>
      </c>
      <c r="L13" s="59" t="s">
        <v>25</v>
      </c>
      <c r="M13" s="115">
        <v>14.486657460295646</v>
      </c>
      <c r="R13" s="44"/>
      <c r="T13" s="21"/>
      <c r="U13" s="79"/>
      <c r="V13" s="21"/>
      <c r="W13" s="21"/>
      <c r="X13" s="20"/>
      <c r="Y13" s="20"/>
      <c r="Z13" s="20"/>
      <c r="AA13" s="20"/>
      <c r="AB13" s="20"/>
      <c r="AC13" s="20"/>
    </row>
    <row r="14" spans="1:29" x14ac:dyDescent="0.25">
      <c r="A14" s="61" t="s">
        <v>83</v>
      </c>
      <c r="B14" s="80">
        <f t="shared" ref="B14:G14" si="5">SUM(B8:B13)</f>
        <v>8380.8186332873756</v>
      </c>
      <c r="C14" s="122">
        <f t="shared" si="5"/>
        <v>7986.6723051674271</v>
      </c>
      <c r="D14" s="118">
        <f t="shared" si="5"/>
        <v>7622.8029950980881</v>
      </c>
      <c r="E14" s="118">
        <f t="shared" si="5"/>
        <v>7249.1864394439826</v>
      </c>
      <c r="F14" s="126">
        <f t="shared" si="5"/>
        <v>6794.7039338123404</v>
      </c>
      <c r="G14" s="126">
        <f t="shared" si="5"/>
        <v>6434.2296133607415</v>
      </c>
      <c r="I14" s="32" t="s">
        <v>26</v>
      </c>
      <c r="J14" s="109">
        <f>ROUND(M14*$J$19,18)</f>
        <v>1.29525620205746E-3</v>
      </c>
      <c r="L14" s="59" t="s">
        <v>26</v>
      </c>
      <c r="M14" s="115">
        <v>1.2952562020574572</v>
      </c>
      <c r="P14" s="20"/>
      <c r="Q14" s="20"/>
      <c r="R14" s="44"/>
      <c r="T14" s="21"/>
      <c r="U14" s="79"/>
      <c r="V14" s="21"/>
      <c r="W14" s="21"/>
      <c r="X14" s="20"/>
      <c r="Y14" s="20"/>
      <c r="Z14" s="20"/>
      <c r="AA14" s="20"/>
      <c r="AB14" s="20"/>
      <c r="AC14" s="20"/>
    </row>
    <row r="15" spans="1:29" x14ac:dyDescent="0.25">
      <c r="A15" s="105" t="s">
        <v>84</v>
      </c>
      <c r="B15" s="202" t="s">
        <v>215</v>
      </c>
      <c r="C15" s="123">
        <f>C14*0.05</f>
        <v>399.33361525837137</v>
      </c>
      <c r="D15" s="124">
        <f>D14*0.05</f>
        <v>381.14014975490443</v>
      </c>
      <c r="E15" s="124">
        <f>E14*0.05</f>
        <v>362.45932197219918</v>
      </c>
      <c r="F15" s="125">
        <f>F14*0.05</f>
        <v>339.73519669061704</v>
      </c>
      <c r="G15" s="125">
        <f>G14*0.05</f>
        <v>321.7114806680371</v>
      </c>
      <c r="I15" s="32" t="s">
        <v>27</v>
      </c>
      <c r="J15" s="110">
        <f>ROUND(M15*$J$19,18)</f>
        <v>2.6299400059656502E-4</v>
      </c>
      <c r="L15" s="59" t="s">
        <v>27</v>
      </c>
      <c r="M15" s="115">
        <v>0.26299400059656458</v>
      </c>
      <c r="R15" s="44"/>
      <c r="T15" s="21"/>
      <c r="U15" s="79"/>
      <c r="V15" s="21"/>
      <c r="W15" s="21"/>
      <c r="X15" s="20"/>
      <c r="Y15" s="20"/>
      <c r="Z15" s="20"/>
      <c r="AA15" s="20"/>
      <c r="AB15" s="20"/>
      <c r="AC15" s="20"/>
    </row>
    <row r="16" spans="1:29" x14ac:dyDescent="0.25">
      <c r="A16" s="61" t="s">
        <v>85</v>
      </c>
      <c r="B16" s="203" t="s">
        <v>215</v>
      </c>
      <c r="C16" s="127">
        <f t="shared" ref="C16:F16" si="6">C14+C15</f>
        <v>8386.0059204257977</v>
      </c>
      <c r="D16" s="126">
        <f t="shared" si="6"/>
        <v>8003.9431448529922</v>
      </c>
      <c r="E16" s="126">
        <f t="shared" si="6"/>
        <v>7611.6457614161818</v>
      </c>
      <c r="F16" s="126">
        <f t="shared" si="6"/>
        <v>7134.4391305029576</v>
      </c>
      <c r="G16" s="126">
        <f>G14+G15</f>
        <v>6755.9410940287789</v>
      </c>
      <c r="I16" s="32" t="s">
        <v>31</v>
      </c>
      <c r="J16" s="109">
        <f>ROUND(M16*$J$19,18)</f>
        <v>4.8983152757174804E-3</v>
      </c>
      <c r="L16" s="59" t="s">
        <v>31</v>
      </c>
      <c r="M16" s="115">
        <v>4.8983152757174828</v>
      </c>
      <c r="R16" s="44"/>
      <c r="S16" s="86"/>
      <c r="T16" s="21"/>
      <c r="U16" s="79"/>
      <c r="V16" s="21"/>
      <c r="W16" s="21"/>
      <c r="X16" s="20"/>
      <c r="Y16" s="20"/>
      <c r="Z16" s="20"/>
      <c r="AA16" s="20"/>
      <c r="AB16" s="20"/>
      <c r="AC16" s="20"/>
    </row>
    <row r="17" spans="1:32" x14ac:dyDescent="0.25">
      <c r="A17" s="220" t="s">
        <v>203</v>
      </c>
      <c r="B17" s="221"/>
      <c r="C17" s="222"/>
      <c r="D17" s="119"/>
      <c r="E17" s="119"/>
      <c r="F17" s="223"/>
      <c r="G17" s="222"/>
      <c r="H17" s="43"/>
      <c r="I17" s="59" t="s">
        <v>203</v>
      </c>
      <c r="J17" s="215"/>
      <c r="L17" s="59" t="s">
        <v>203</v>
      </c>
      <c r="M17" s="216"/>
      <c r="R17" s="20"/>
      <c r="S17" s="20"/>
      <c r="T17" s="20"/>
      <c r="U17" s="20"/>
      <c r="V17" s="20"/>
      <c r="W17" s="20"/>
      <c r="X17" s="20"/>
      <c r="Z17" s="20"/>
      <c r="AA17" s="20"/>
      <c r="AB17" s="20"/>
      <c r="AC17" s="20"/>
    </row>
    <row r="18" spans="1:32" x14ac:dyDescent="0.25">
      <c r="B18" s="43"/>
      <c r="C18" s="32"/>
      <c r="D18" s="119"/>
      <c r="E18" s="119"/>
      <c r="F18" s="119"/>
      <c r="G18" s="119"/>
      <c r="H18" s="43"/>
      <c r="R18" s="20"/>
      <c r="S18" s="20"/>
      <c r="T18" s="20"/>
      <c r="U18" s="20"/>
      <c r="V18" s="20"/>
      <c r="W18" s="20"/>
      <c r="X18" s="20"/>
      <c r="Z18" s="20"/>
      <c r="AA18" s="20"/>
      <c r="AB18" s="20"/>
      <c r="AC18" s="20"/>
    </row>
    <row r="19" spans="1:32" x14ac:dyDescent="0.25">
      <c r="A19" s="18" t="s">
        <v>202</v>
      </c>
      <c r="B19" s="43"/>
      <c r="C19" s="207"/>
      <c r="D19" s="119"/>
      <c r="E19" s="119"/>
      <c r="F19" s="119"/>
      <c r="G19" s="119"/>
      <c r="H19" s="43"/>
      <c r="I19" s="208" t="s">
        <v>204</v>
      </c>
      <c r="J19" s="142">
        <v>1E-3</v>
      </c>
      <c r="R19" s="20"/>
      <c r="S19" s="20"/>
      <c r="T19" s="20"/>
      <c r="U19" s="20"/>
      <c r="V19" s="20"/>
      <c r="W19" s="20"/>
      <c r="X19" s="20"/>
      <c r="Z19" s="20"/>
      <c r="AA19" s="20"/>
      <c r="AB19" s="20"/>
      <c r="AC19" s="20"/>
    </row>
    <row r="20" spans="1:32" x14ac:dyDescent="0.25">
      <c r="A20" s="2" t="s">
        <v>200</v>
      </c>
      <c r="B20" s="43"/>
      <c r="C20" s="207"/>
      <c r="D20" s="119"/>
      <c r="E20" s="119"/>
      <c r="F20" s="119"/>
      <c r="G20" s="119"/>
      <c r="I20" s="18" t="s">
        <v>205</v>
      </c>
      <c r="R20" s="20"/>
      <c r="S20" s="20"/>
      <c r="T20" s="20"/>
      <c r="U20" s="20"/>
      <c r="V20" s="20"/>
      <c r="W20" s="20"/>
      <c r="X20" s="20"/>
      <c r="Z20" s="20"/>
      <c r="AA20" s="20"/>
      <c r="AB20" s="20"/>
      <c r="AC20" s="20"/>
    </row>
    <row r="21" spans="1:32" x14ac:dyDescent="0.25">
      <c r="A21" s="206" t="s">
        <v>199</v>
      </c>
      <c r="I21" s="87" t="s">
        <v>86</v>
      </c>
      <c r="R21" s="20"/>
      <c r="S21" s="20"/>
      <c r="T21" s="20"/>
      <c r="U21" s="20"/>
      <c r="V21" s="20"/>
      <c r="W21" s="20"/>
      <c r="X21" s="20"/>
      <c r="Z21" s="20"/>
      <c r="AA21" s="20"/>
      <c r="AB21" s="20"/>
      <c r="AC21" s="20"/>
    </row>
    <row r="22" spans="1:32" x14ac:dyDescent="0.25">
      <c r="I22" s="59" t="s">
        <v>87</v>
      </c>
      <c r="R22" s="20"/>
      <c r="S22" s="20"/>
      <c r="T22" s="20"/>
      <c r="U22" s="20"/>
      <c r="V22" s="20"/>
      <c r="W22" s="20"/>
      <c r="X22" s="20"/>
      <c r="Z22" s="20"/>
      <c r="AA22" s="20"/>
      <c r="AB22" s="20"/>
      <c r="AC22" s="20"/>
    </row>
    <row r="23" spans="1:32" x14ac:dyDescent="0.25">
      <c r="I23" s="88" t="s">
        <v>88</v>
      </c>
      <c r="R23" s="20"/>
      <c r="S23" s="20"/>
      <c r="T23" s="20"/>
      <c r="U23" s="20"/>
      <c r="V23" s="20"/>
      <c r="W23" s="20"/>
      <c r="X23" s="20"/>
      <c r="Z23" s="20"/>
      <c r="AA23" s="20"/>
      <c r="AB23" s="20"/>
      <c r="AC23" s="20"/>
    </row>
    <row r="24" spans="1:32" ht="9.6" customHeight="1" x14ac:dyDescent="0.25">
      <c r="A24" s="138"/>
      <c r="B24" s="139"/>
      <c r="C24" s="139"/>
      <c r="D24" s="139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40"/>
      <c r="T24" s="140"/>
      <c r="U24" s="140"/>
      <c r="V24" s="140"/>
      <c r="W24" s="140"/>
      <c r="X24" s="140"/>
      <c r="Y24" s="141"/>
      <c r="Z24" s="140"/>
      <c r="AA24" s="140"/>
      <c r="AB24" s="140"/>
      <c r="AC24" s="140"/>
      <c r="AD24" s="138"/>
      <c r="AE24" s="138"/>
      <c r="AF24" s="138"/>
    </row>
    <row r="25" spans="1:32" ht="19.5" customHeight="1" x14ac:dyDescent="0.25">
      <c r="B25" s="43"/>
      <c r="C25" s="43"/>
      <c r="D25" s="43"/>
      <c r="S25" s="20"/>
      <c r="T25" s="20"/>
      <c r="U25" s="20"/>
      <c r="V25" s="20"/>
      <c r="W25" s="20"/>
      <c r="X25" s="20"/>
      <c r="Y25" s="150"/>
      <c r="Z25" s="20"/>
      <c r="AA25" s="20"/>
      <c r="AB25" s="20"/>
      <c r="AC25" s="20"/>
    </row>
    <row r="26" spans="1:32" x14ac:dyDescent="0.25">
      <c r="A26" s="18" t="s">
        <v>89</v>
      </c>
      <c r="B26" s="18"/>
      <c r="C26" s="18"/>
      <c r="D26" s="18"/>
      <c r="E26" s="18"/>
      <c r="F26" s="18"/>
      <c r="G26" s="18"/>
      <c r="I26" s="18" t="s">
        <v>90</v>
      </c>
      <c r="J26" s="18"/>
      <c r="K26" s="18"/>
      <c r="L26" s="18"/>
      <c r="M26" s="18"/>
      <c r="N26" s="18"/>
      <c r="O26" s="18"/>
      <c r="Q26" s="143" t="s">
        <v>91</v>
      </c>
      <c r="S26" s="143"/>
      <c r="T26" s="143"/>
      <c r="U26" s="143"/>
      <c r="V26" s="143"/>
      <c r="W26" s="143"/>
      <c r="X26" s="20"/>
      <c r="Y26" s="143" t="s">
        <v>92</v>
      </c>
      <c r="Z26" s="143"/>
      <c r="AA26" s="143"/>
      <c r="AB26" s="143"/>
      <c r="AC26" s="143"/>
      <c r="AD26" s="143"/>
      <c r="AE26" s="143"/>
      <c r="AF26" s="143"/>
    </row>
    <row r="27" spans="1:32" x14ac:dyDescent="0.25">
      <c r="A27" s="128" t="s">
        <v>93</v>
      </c>
      <c r="B27" s="129"/>
      <c r="I27" s="18" t="s">
        <v>93</v>
      </c>
      <c r="Q27" s="18" t="s">
        <v>93</v>
      </c>
      <c r="Y27" s="18" t="s">
        <v>93</v>
      </c>
      <c r="Z27" s="19"/>
      <c r="AA27" s="19"/>
      <c r="AB27" s="19"/>
      <c r="AC27" s="19"/>
      <c r="AD27" s="19"/>
      <c r="AE27" s="19"/>
      <c r="AF27" s="19"/>
    </row>
    <row r="28" spans="1:32" x14ac:dyDescent="0.25">
      <c r="A28" s="131" t="s">
        <v>34</v>
      </c>
      <c r="B28" s="132" t="s">
        <v>94</v>
      </c>
      <c r="C28" s="131" t="s">
        <v>95</v>
      </c>
      <c r="D28" s="131" t="s">
        <v>96</v>
      </c>
      <c r="E28" s="131" t="s">
        <v>97</v>
      </c>
      <c r="F28" s="131" t="s">
        <v>98</v>
      </c>
      <c r="G28" s="131" t="s">
        <v>99</v>
      </c>
      <c r="I28" s="143" t="s">
        <v>100</v>
      </c>
      <c r="J28" s="81"/>
      <c r="K28" s="81"/>
      <c r="L28" s="81"/>
      <c r="M28" s="81"/>
      <c r="Q28" s="135" t="s">
        <v>101</v>
      </c>
      <c r="R28" s="160" t="s">
        <v>102</v>
      </c>
      <c r="S28" s="160" t="s">
        <v>69</v>
      </c>
      <c r="T28" s="160" t="s">
        <v>70</v>
      </c>
      <c r="U28" s="160" t="s">
        <v>71</v>
      </c>
      <c r="V28" s="160" t="s">
        <v>72</v>
      </c>
      <c r="W28" s="160" t="s">
        <v>73</v>
      </c>
      <c r="Y28" s="130" t="s">
        <v>34</v>
      </c>
      <c r="Z28" s="129" t="s">
        <v>103</v>
      </c>
      <c r="AA28" s="129" t="s">
        <v>104</v>
      </c>
      <c r="AB28" s="129" t="s">
        <v>105</v>
      </c>
      <c r="AC28" s="129" t="s">
        <v>106</v>
      </c>
      <c r="AD28" s="129" t="s">
        <v>107</v>
      </c>
      <c r="AE28" s="129" t="s">
        <v>108</v>
      </c>
      <c r="AF28" s="129" t="s">
        <v>109</v>
      </c>
    </row>
    <row r="29" spans="1:32" x14ac:dyDescent="0.25">
      <c r="A29" s="2" t="s">
        <v>38</v>
      </c>
      <c r="B29" s="89">
        <v>542.90852642538039</v>
      </c>
      <c r="C29" s="90">
        <f t="shared" ref="C29:G30" si="7">B29-(J$31*B29/(B$29+B$30))</f>
        <v>524.95275410269858</v>
      </c>
      <c r="D29" s="90">
        <f t="shared" si="7"/>
        <v>511.89401059529359</v>
      </c>
      <c r="E29" s="90">
        <f t="shared" si="7"/>
        <v>498.83526708788861</v>
      </c>
      <c r="F29" s="90">
        <f t="shared" si="7"/>
        <v>485.77652358048363</v>
      </c>
      <c r="G29" s="90">
        <f t="shared" si="7"/>
        <v>472.71778007307864</v>
      </c>
      <c r="I29" s="186" t="s">
        <v>110</v>
      </c>
      <c r="J29" s="135" t="s">
        <v>69</v>
      </c>
      <c r="K29" s="135" t="s">
        <v>70</v>
      </c>
      <c r="L29" s="135" t="s">
        <v>71</v>
      </c>
      <c r="M29" s="135" t="s">
        <v>72</v>
      </c>
      <c r="N29" s="187" t="s">
        <v>73</v>
      </c>
      <c r="Q29" s="162" t="s">
        <v>111</v>
      </c>
      <c r="R29" s="119">
        <f>B29*'Stakeholder Memo Table 5'!$J$9</f>
        <v>467.62048318095884</v>
      </c>
      <c r="S29" s="119">
        <f t="shared" ref="S29:W30" si="8">C29*$J$9</f>
        <v>452.15473431032694</v>
      </c>
      <c r="T29" s="119">
        <f t="shared" si="8"/>
        <v>440.90691694986737</v>
      </c>
      <c r="U29" s="119">
        <f t="shared" si="8"/>
        <v>429.65909958940779</v>
      </c>
      <c r="V29" s="119">
        <f t="shared" si="8"/>
        <v>418.41128222894815</v>
      </c>
      <c r="W29" s="119">
        <f t="shared" si="8"/>
        <v>407.16346486848857</v>
      </c>
      <c r="Y29" s="2" t="s">
        <v>38</v>
      </c>
      <c r="Z29" s="96">
        <v>686.41899999999998</v>
      </c>
      <c r="AA29" s="96">
        <v>654.101</v>
      </c>
      <c r="AB29" s="96">
        <v>615.79700000000003</v>
      </c>
      <c r="AC29" s="96">
        <v>577.32298863636356</v>
      </c>
      <c r="AD29" s="96">
        <v>612.47536623076587</v>
      </c>
      <c r="AE29" s="96">
        <v>579.9366384977302</v>
      </c>
      <c r="AF29" s="146">
        <v>542.90852642538039</v>
      </c>
    </row>
    <row r="30" spans="1:32" x14ac:dyDescent="0.25">
      <c r="A30" s="2" t="s">
        <v>39</v>
      </c>
      <c r="B30" s="89">
        <v>454.87542015573962</v>
      </c>
      <c r="C30" s="90">
        <f t="shared" si="7"/>
        <v>439.83119247842149</v>
      </c>
      <c r="D30" s="90">
        <f t="shared" si="7"/>
        <v>428.88993598582647</v>
      </c>
      <c r="E30" s="90">
        <f t="shared" si="7"/>
        <v>417.94867949323145</v>
      </c>
      <c r="F30" s="90">
        <f t="shared" si="7"/>
        <v>407.00742300063644</v>
      </c>
      <c r="G30" s="90">
        <f t="shared" si="7"/>
        <v>396.06616650804142</v>
      </c>
      <c r="H30" s="91"/>
      <c r="I30" s="81" t="s">
        <v>112</v>
      </c>
      <c r="J30" s="195">
        <v>97</v>
      </c>
      <c r="K30" s="157">
        <v>85</v>
      </c>
      <c r="L30" s="157">
        <v>85</v>
      </c>
      <c r="M30" s="157">
        <v>84</v>
      </c>
      <c r="N30" s="81">
        <v>84</v>
      </c>
      <c r="O30" s="20"/>
      <c r="Q30" s="163" t="s">
        <v>113</v>
      </c>
      <c r="R30" s="119">
        <f>B30*$J$9</f>
        <v>391.79540089541075</v>
      </c>
      <c r="S30" s="119">
        <f t="shared" si="8"/>
        <v>378.83743712594918</v>
      </c>
      <c r="T30" s="119">
        <f t="shared" si="8"/>
        <v>369.41346347543168</v>
      </c>
      <c r="U30" s="119">
        <f t="shared" si="8"/>
        <v>359.98948982491413</v>
      </c>
      <c r="V30" s="119">
        <f t="shared" si="8"/>
        <v>350.56551617439658</v>
      </c>
      <c r="W30" s="119">
        <f t="shared" si="8"/>
        <v>341.14154252387908</v>
      </c>
      <c r="Y30" s="2" t="s">
        <v>39</v>
      </c>
      <c r="Z30" s="96">
        <v>499.95400000000001</v>
      </c>
      <c r="AA30" s="96">
        <v>485.75900000000001</v>
      </c>
      <c r="AB30" s="96">
        <v>473.64</v>
      </c>
      <c r="AC30" s="96">
        <v>446.42896590909078</v>
      </c>
      <c r="AD30" s="96">
        <v>445.5076506256388</v>
      </c>
      <c r="AE30" s="96">
        <v>435.49536072064245</v>
      </c>
      <c r="AF30" s="146">
        <v>454.87542015573962</v>
      </c>
    </row>
    <row r="31" spans="1:32" x14ac:dyDescent="0.25">
      <c r="A31" s="2" t="s">
        <v>40</v>
      </c>
      <c r="B31" s="89">
        <v>0</v>
      </c>
      <c r="C31" s="90">
        <f t="shared" ref="C31:G32" si="9">B31</f>
        <v>0</v>
      </c>
      <c r="D31" s="90">
        <f t="shared" si="9"/>
        <v>0</v>
      </c>
      <c r="E31" s="90">
        <f t="shared" si="9"/>
        <v>0</v>
      </c>
      <c r="F31" s="90">
        <f t="shared" si="9"/>
        <v>0</v>
      </c>
      <c r="G31" s="90">
        <f t="shared" si="9"/>
        <v>0</v>
      </c>
      <c r="H31" s="91"/>
      <c r="I31" s="81" t="s">
        <v>114</v>
      </c>
      <c r="J31" s="191">
        <v>33</v>
      </c>
      <c r="K31" s="157">
        <v>24</v>
      </c>
      <c r="L31" s="157">
        <v>24</v>
      </c>
      <c r="M31" s="157">
        <v>24</v>
      </c>
      <c r="N31" s="81">
        <v>24</v>
      </c>
      <c r="O31" s="20"/>
      <c r="Q31" s="162" t="s">
        <v>115</v>
      </c>
      <c r="R31" s="119">
        <f t="shared" ref="R31:W32" si="10">B31*$J$10</f>
        <v>0</v>
      </c>
      <c r="S31" s="119">
        <f t="shared" si="10"/>
        <v>0</v>
      </c>
      <c r="T31" s="119">
        <f t="shared" si="10"/>
        <v>0</v>
      </c>
      <c r="U31" s="119">
        <f t="shared" si="10"/>
        <v>0</v>
      </c>
      <c r="V31" s="119">
        <f t="shared" si="10"/>
        <v>0</v>
      </c>
      <c r="W31" s="119">
        <f t="shared" si="10"/>
        <v>0</v>
      </c>
      <c r="Y31" s="81" t="s">
        <v>40</v>
      </c>
      <c r="Z31" s="96">
        <v>141.89099999999999</v>
      </c>
      <c r="AA31" s="96">
        <v>140.13300000000001</v>
      </c>
      <c r="AB31" s="96">
        <v>138.774</v>
      </c>
      <c r="AC31" s="96">
        <v>133.48420984848485</v>
      </c>
      <c r="AD31" s="96">
        <v>0</v>
      </c>
      <c r="AE31" s="96">
        <v>0</v>
      </c>
      <c r="AF31" s="146">
        <v>0</v>
      </c>
    </row>
    <row r="32" spans="1:32" x14ac:dyDescent="0.25">
      <c r="A32" s="2" t="s">
        <v>41</v>
      </c>
      <c r="B32" s="89">
        <v>2378.1249157364437</v>
      </c>
      <c r="C32" s="90">
        <f>B32</f>
        <v>2378.1249157364437</v>
      </c>
      <c r="D32" s="90">
        <f t="shared" si="9"/>
        <v>2378.1249157364437</v>
      </c>
      <c r="E32" s="90">
        <f t="shared" si="9"/>
        <v>2378.1249157364437</v>
      </c>
      <c r="F32" s="90">
        <f t="shared" si="9"/>
        <v>2378.1249157364437</v>
      </c>
      <c r="G32" s="90">
        <f t="shared" si="9"/>
        <v>2378.1249157364437</v>
      </c>
      <c r="H32" s="91"/>
      <c r="I32" s="81" t="s">
        <v>116</v>
      </c>
      <c r="J32" s="157">
        <f>$N$45</f>
        <v>4058</v>
      </c>
      <c r="K32" s="157">
        <f>$N$45</f>
        <v>4058</v>
      </c>
      <c r="L32" s="157">
        <f>$N$45</f>
        <v>4058</v>
      </c>
      <c r="M32" s="157">
        <f>$N$45</f>
        <v>4058</v>
      </c>
      <c r="N32" s="157">
        <f>$N$45</f>
        <v>4058</v>
      </c>
      <c r="O32" s="20"/>
      <c r="P32" s="20"/>
      <c r="Q32" s="163" t="s">
        <v>117</v>
      </c>
      <c r="R32" s="119">
        <f t="shared" si="10"/>
        <v>230.08101397836415</v>
      </c>
      <c r="S32" s="119">
        <f t="shared" si="10"/>
        <v>230.08101397836415</v>
      </c>
      <c r="T32" s="119">
        <f t="shared" si="10"/>
        <v>230.08101397836415</v>
      </c>
      <c r="U32" s="119">
        <f t="shared" si="10"/>
        <v>230.08101397836415</v>
      </c>
      <c r="V32" s="119">
        <f t="shared" si="10"/>
        <v>230.08101397836415</v>
      </c>
      <c r="W32" s="119">
        <f t="shared" si="10"/>
        <v>230.08101397836415</v>
      </c>
      <c r="Y32" s="2" t="s">
        <v>41</v>
      </c>
      <c r="Z32" s="96">
        <v>2376.4549999999999</v>
      </c>
      <c r="AA32" s="96">
        <v>2370.0230000000001</v>
      </c>
      <c r="AB32" s="96">
        <v>2363.7809999999999</v>
      </c>
      <c r="AC32" s="96">
        <v>2355.4885954545475</v>
      </c>
      <c r="AD32" s="96">
        <v>2415.0423063562889</v>
      </c>
      <c r="AE32" s="96">
        <v>2415.0370478597392</v>
      </c>
      <c r="AF32" s="146">
        <v>2378.1249157364437</v>
      </c>
    </row>
    <row r="33" spans="1:32" x14ac:dyDescent="0.25">
      <c r="A33" s="2" t="s">
        <v>42</v>
      </c>
      <c r="B33" s="89">
        <v>6426.8297807367089</v>
      </c>
      <c r="C33" s="90">
        <f>B33+J30+J31+J50</f>
        <v>6556.8297807367089</v>
      </c>
      <c r="D33" s="90">
        <f>C33+K30+K31+K50</f>
        <v>6665.8297807367089</v>
      </c>
      <c r="E33" s="90">
        <f>D33+L30+L31+L50</f>
        <v>6774.8297807367089</v>
      </c>
      <c r="F33" s="90">
        <f>E33+M30+M31+M50</f>
        <v>6882.8297807367089</v>
      </c>
      <c r="G33" s="90">
        <f>F33+N30+N31+N50</f>
        <v>6990.8297807367089</v>
      </c>
      <c r="H33" s="91"/>
      <c r="I33" s="81" t="s">
        <v>203</v>
      </c>
      <c r="K33" s="157"/>
      <c r="L33" s="157"/>
      <c r="M33" s="157"/>
      <c r="O33" s="20"/>
      <c r="P33" s="20"/>
      <c r="Q33" s="162" t="s">
        <v>119</v>
      </c>
      <c r="R33" s="119">
        <f t="shared" ref="R33:W33" si="11">B33*$J$11</f>
        <v>185.39704877904134</v>
      </c>
      <c r="S33" s="119">
        <f t="shared" si="11"/>
        <v>189.14720510238379</v>
      </c>
      <c r="T33" s="119">
        <f t="shared" si="11"/>
        <v>192.29156694272476</v>
      </c>
      <c r="U33" s="119">
        <f t="shared" si="11"/>
        <v>195.43592878306575</v>
      </c>
      <c r="V33" s="119">
        <f t="shared" si="11"/>
        <v>198.55144326707332</v>
      </c>
      <c r="W33" s="119">
        <f t="shared" si="11"/>
        <v>201.6669577510809</v>
      </c>
      <c r="Y33" s="81" t="s">
        <v>120</v>
      </c>
      <c r="Z33" s="96">
        <v>5529.7470000000003</v>
      </c>
      <c r="AA33" s="96">
        <v>5675.0349999999999</v>
      </c>
      <c r="AB33" s="96">
        <v>5797.6930000000002</v>
      </c>
      <c r="AC33" s="96">
        <f>5958.345+5.217</f>
        <v>5963.5619999999999</v>
      </c>
      <c r="AD33" s="96">
        <v>6131.5528050980975</v>
      </c>
      <c r="AE33" s="96">
        <v>6278.1894425243599</v>
      </c>
      <c r="AF33" s="146">
        <v>6426.8297807367089</v>
      </c>
    </row>
    <row r="34" spans="1:32" ht="14.45" customHeight="1" x14ac:dyDescent="0.25">
      <c r="A34" s="2" t="s">
        <v>43</v>
      </c>
      <c r="B34" s="89">
        <v>1426.5265452457179</v>
      </c>
      <c r="C34" s="90">
        <f>B34-J30</f>
        <v>1329.5265452457179</v>
      </c>
      <c r="D34" s="90">
        <f>C34-K30</f>
        <v>1244.5265452457179</v>
      </c>
      <c r="E34" s="90">
        <f>D34-L30</f>
        <v>1159.5265452457179</v>
      </c>
      <c r="F34" s="90">
        <f>E34-M30</f>
        <v>1075.5265452457179</v>
      </c>
      <c r="G34" s="90">
        <f>F34-N30</f>
        <v>991.5265452457179</v>
      </c>
      <c r="H34" s="91"/>
      <c r="I34" s="18" t="s">
        <v>118</v>
      </c>
      <c r="J34" s="20"/>
      <c r="K34" s="20"/>
      <c r="L34" s="20"/>
      <c r="M34" s="20"/>
      <c r="O34" s="20"/>
      <c r="P34" s="20"/>
      <c r="Q34" s="163" t="s">
        <v>122</v>
      </c>
      <c r="R34" s="119">
        <f t="shared" ref="R34:W36" si="12">B34*$J$8</f>
        <v>1650.873762873855</v>
      </c>
      <c r="S34" s="119">
        <f t="shared" si="12"/>
        <v>1538.6187504925881</v>
      </c>
      <c r="T34" s="119">
        <f t="shared" si="12"/>
        <v>1440.2509561378697</v>
      </c>
      <c r="U34" s="119">
        <f t="shared" si="12"/>
        <v>1341.8831617831513</v>
      </c>
      <c r="V34" s="119">
        <f t="shared" si="12"/>
        <v>1244.6726355973119</v>
      </c>
      <c r="W34" s="119">
        <f t="shared" si="12"/>
        <v>1147.4621094114725</v>
      </c>
      <c r="Y34" s="2" t="s">
        <v>43</v>
      </c>
      <c r="Z34" s="96">
        <v>1895.816</v>
      </c>
      <c r="AA34" s="96">
        <v>1828.5229999999999</v>
      </c>
      <c r="AB34" s="96">
        <v>1777.942</v>
      </c>
      <c r="AC34" s="96">
        <v>1683.1969999999985</v>
      </c>
      <c r="AD34" s="96">
        <v>1588.3870819055694</v>
      </c>
      <c r="AE34" s="96">
        <v>1513.1064770362614</v>
      </c>
      <c r="AF34" s="146">
        <v>1426.5265452457179</v>
      </c>
    </row>
    <row r="35" spans="1:32" x14ac:dyDescent="0.25">
      <c r="A35" s="2" t="s">
        <v>44</v>
      </c>
      <c r="B35" s="89">
        <v>0</v>
      </c>
      <c r="C35" s="90">
        <v>0</v>
      </c>
      <c r="D35" s="90">
        <v>0</v>
      </c>
      <c r="E35" s="90">
        <v>0</v>
      </c>
      <c r="F35" s="90">
        <v>0</v>
      </c>
      <c r="G35" s="90">
        <v>0</v>
      </c>
      <c r="H35" s="20"/>
      <c r="I35" s="2" t="s">
        <v>121</v>
      </c>
      <c r="O35" s="81"/>
      <c r="P35" s="20"/>
      <c r="Q35" s="162" t="s">
        <v>124</v>
      </c>
      <c r="R35" s="119">
        <f t="shared" si="12"/>
        <v>0</v>
      </c>
      <c r="S35" s="119">
        <f t="shared" si="12"/>
        <v>0</v>
      </c>
      <c r="T35" s="119">
        <f t="shared" si="12"/>
        <v>0</v>
      </c>
      <c r="U35" s="119">
        <f t="shared" si="12"/>
        <v>0</v>
      </c>
      <c r="V35" s="119">
        <f t="shared" si="12"/>
        <v>0</v>
      </c>
      <c r="W35" s="119">
        <f t="shared" si="12"/>
        <v>0</v>
      </c>
      <c r="Y35" s="2" t="s">
        <v>44</v>
      </c>
      <c r="Z35" s="96">
        <v>0</v>
      </c>
      <c r="AA35" s="96">
        <v>0</v>
      </c>
      <c r="AB35" s="96">
        <v>0</v>
      </c>
      <c r="AC35" s="96">
        <v>0</v>
      </c>
      <c r="AD35" s="96">
        <v>0</v>
      </c>
      <c r="AE35" s="96">
        <v>0</v>
      </c>
      <c r="AF35" s="146">
        <v>0</v>
      </c>
    </row>
    <row r="36" spans="1:32" x14ac:dyDescent="0.25">
      <c r="A36" s="2" t="s">
        <v>45</v>
      </c>
      <c r="B36" s="89">
        <v>1.6856060606060607E-2</v>
      </c>
      <c r="C36" s="90">
        <f t="shared" ref="C36:G37" si="13">B36</f>
        <v>1.6856060606060607E-2</v>
      </c>
      <c r="D36" s="90">
        <f t="shared" si="13"/>
        <v>1.6856060606060607E-2</v>
      </c>
      <c r="E36" s="90">
        <f t="shared" si="13"/>
        <v>1.6856060606060607E-2</v>
      </c>
      <c r="F36" s="90">
        <f>E36</f>
        <v>1.6856060606060607E-2</v>
      </c>
      <c r="G36" s="90">
        <f>F36</f>
        <v>1.6856060606060607E-2</v>
      </c>
      <c r="I36" s="2" t="s">
        <v>123</v>
      </c>
      <c r="J36" s="81"/>
      <c r="K36" s="81"/>
      <c r="L36" s="81"/>
      <c r="M36" s="81"/>
      <c r="O36" s="81"/>
      <c r="P36" s="20"/>
      <c r="Q36" s="163" t="s">
        <v>125</v>
      </c>
      <c r="R36" s="119">
        <f t="shared" si="12"/>
        <v>1.950698239208988E-2</v>
      </c>
      <c r="S36" s="119">
        <f t="shared" si="12"/>
        <v>1.950698239208988E-2</v>
      </c>
      <c r="T36" s="119">
        <f t="shared" si="12"/>
        <v>1.950698239208988E-2</v>
      </c>
      <c r="U36" s="119">
        <f t="shared" si="12"/>
        <v>1.950698239208988E-2</v>
      </c>
      <c r="V36" s="119">
        <f t="shared" si="12"/>
        <v>1.950698239208988E-2</v>
      </c>
      <c r="W36" s="119">
        <f t="shared" si="12"/>
        <v>1.950698239208988E-2</v>
      </c>
      <c r="Y36" s="2" t="s">
        <v>45</v>
      </c>
      <c r="Z36" s="96">
        <v>2.8000000000000001E-2</v>
      </c>
      <c r="AA36" s="96">
        <v>1.7000000000000001E-2</v>
      </c>
      <c r="AB36" s="96">
        <v>1.7000000000000001E-2</v>
      </c>
      <c r="AC36" s="96">
        <v>1.7000000000000001E-2</v>
      </c>
      <c r="AD36" s="96">
        <v>1.6856060606060607E-2</v>
      </c>
      <c r="AE36" s="96">
        <v>1.6856060606060607E-2</v>
      </c>
      <c r="AF36" s="146">
        <v>1.6856060606060607E-2</v>
      </c>
    </row>
    <row r="37" spans="1:32" x14ac:dyDescent="0.25">
      <c r="A37" s="2" t="s">
        <v>46</v>
      </c>
      <c r="B37" s="89">
        <v>0.3563409090909091</v>
      </c>
      <c r="C37" s="90">
        <f t="shared" si="13"/>
        <v>0.3563409090909091</v>
      </c>
      <c r="D37" s="90">
        <f t="shared" si="13"/>
        <v>0.3563409090909091</v>
      </c>
      <c r="E37" s="90">
        <f>D37</f>
        <v>0.3563409090909091</v>
      </c>
      <c r="F37" s="90">
        <f t="shared" si="13"/>
        <v>0.3563409090909091</v>
      </c>
      <c r="G37" s="90">
        <f t="shared" si="13"/>
        <v>0.3563409090909091</v>
      </c>
      <c r="H37" s="154"/>
      <c r="J37" s="81"/>
      <c r="K37" s="81"/>
      <c r="L37" s="81"/>
      <c r="M37" s="81"/>
      <c r="O37" s="81"/>
      <c r="P37" s="20"/>
      <c r="Q37" s="162" t="s">
        <v>127</v>
      </c>
      <c r="R37" s="119">
        <f t="shared" ref="R37:W37" si="14">B37*$J$9</f>
        <v>0.30692520005786955</v>
      </c>
      <c r="S37" s="119">
        <f t="shared" si="14"/>
        <v>0.30692520005786955</v>
      </c>
      <c r="T37" s="119">
        <f t="shared" si="14"/>
        <v>0.30692520005786955</v>
      </c>
      <c r="U37" s="119">
        <f t="shared" si="14"/>
        <v>0.30692520005786955</v>
      </c>
      <c r="V37" s="119">
        <f t="shared" si="14"/>
        <v>0.30692520005786955</v>
      </c>
      <c r="W37" s="119">
        <f t="shared" si="14"/>
        <v>0.30692520005786955</v>
      </c>
      <c r="Y37" s="2" t="s">
        <v>46</v>
      </c>
      <c r="Z37" s="96">
        <v>1E-3</v>
      </c>
      <c r="AA37" s="96">
        <v>1E-3</v>
      </c>
      <c r="AB37" s="96">
        <v>1E-3</v>
      </c>
      <c r="AC37" s="96">
        <v>0</v>
      </c>
      <c r="AD37" s="96">
        <v>0</v>
      </c>
      <c r="AE37" s="96">
        <v>0</v>
      </c>
      <c r="AF37" s="146">
        <v>0.3563409090909091</v>
      </c>
    </row>
    <row r="38" spans="1:32" x14ac:dyDescent="0.25">
      <c r="A38" s="2" t="s">
        <v>47</v>
      </c>
      <c r="B38" s="89">
        <f t="shared" ref="B38:E38" si="15">SUM(B29:B37)</f>
        <v>11229.638385269685</v>
      </c>
      <c r="C38" s="90">
        <f t="shared" si="15"/>
        <v>11229.638385269685</v>
      </c>
      <c r="D38" s="90">
        <f t="shared" si="15"/>
        <v>11229.638385269685</v>
      </c>
      <c r="E38" s="90">
        <f t="shared" si="15"/>
        <v>11229.638385269685</v>
      </c>
      <c r="F38" s="90">
        <f>SUM(F29:F37)</f>
        <v>11229.638385269685</v>
      </c>
      <c r="G38" s="90">
        <f>SUM(G29:G37)</f>
        <v>11229.638385269685</v>
      </c>
      <c r="I38" s="18" t="s">
        <v>126</v>
      </c>
      <c r="J38" s="81"/>
      <c r="K38" s="81"/>
      <c r="L38" s="81"/>
      <c r="M38" s="81"/>
      <c r="O38" s="81"/>
      <c r="P38" s="20"/>
      <c r="Q38" s="163" t="s">
        <v>133</v>
      </c>
      <c r="R38" s="119">
        <f t="shared" ref="R38" si="16">SUM(R29:R37)</f>
        <v>2926.0941418900802</v>
      </c>
      <c r="S38" s="119">
        <f t="shared" ref="S38:T38" si="17">SUM(S29:S37)</f>
        <v>2789.1655731920619</v>
      </c>
      <c r="T38" s="119">
        <f t="shared" si="17"/>
        <v>2673.2703496667077</v>
      </c>
      <c r="U38" s="119">
        <f t="shared" ref="U38:W38" si="18">SUM(U29:U37)</f>
        <v>2557.3751261413531</v>
      </c>
      <c r="V38" s="119">
        <f t="shared" si="18"/>
        <v>2442.6083234285443</v>
      </c>
      <c r="W38" s="119">
        <f t="shared" si="18"/>
        <v>2327.841520715735</v>
      </c>
      <c r="Y38" s="2" t="s">
        <v>47</v>
      </c>
      <c r="Z38" s="96">
        <f>SUM(Z29:Z37)</f>
        <v>11130.311000000002</v>
      </c>
      <c r="AA38" s="96">
        <f>SUM(AA29:AA37)</f>
        <v>11153.591999999999</v>
      </c>
      <c r="AB38" s="96">
        <f>SUM(AB29:AB37)</f>
        <v>11167.645</v>
      </c>
      <c r="AC38" s="96">
        <f>SUM(AC29:AC37)</f>
        <v>11159.500759848484</v>
      </c>
      <c r="AD38" s="96">
        <f t="shared" ref="AD38:AE38" si="19">SUM(AD29:AD37)</f>
        <v>11192.982066276965</v>
      </c>
      <c r="AE38" s="96">
        <f t="shared" si="19"/>
        <v>11221.781822699339</v>
      </c>
      <c r="AF38" s="96">
        <f t="shared" ref="AF38" si="20">SUM(AF29:AF37)</f>
        <v>11229.638385269685</v>
      </c>
    </row>
    <row r="39" spans="1:32" ht="14.45" customHeight="1" x14ac:dyDescent="0.25">
      <c r="A39" s="130" t="s">
        <v>48</v>
      </c>
      <c r="B39" s="133" t="s">
        <v>94</v>
      </c>
      <c r="C39" s="134" t="s">
        <v>95</v>
      </c>
      <c r="D39" s="134" t="s">
        <v>96</v>
      </c>
      <c r="E39" s="134" t="s">
        <v>97</v>
      </c>
      <c r="F39" s="134" t="s">
        <v>98</v>
      </c>
      <c r="G39" s="134" t="s">
        <v>99</v>
      </c>
      <c r="I39" s="130" t="s">
        <v>128</v>
      </c>
      <c r="J39" s="130" t="s">
        <v>129</v>
      </c>
      <c r="K39" s="130" t="s">
        <v>130</v>
      </c>
      <c r="L39" s="130" t="s">
        <v>131</v>
      </c>
      <c r="M39" s="130" t="s">
        <v>102</v>
      </c>
      <c r="N39" s="196" t="s">
        <v>132</v>
      </c>
      <c r="O39" s="81"/>
      <c r="P39" s="20"/>
      <c r="Q39" s="162" t="s">
        <v>135</v>
      </c>
      <c r="R39" s="119">
        <f t="shared" ref="R39:W40" si="21">B40*$J$13</f>
        <v>967.15822536425492</v>
      </c>
      <c r="S39" s="119">
        <f t="shared" si="21"/>
        <v>926.47692887782682</v>
      </c>
      <c r="T39" s="119">
        <f t="shared" si="21"/>
        <v>885.79563239139884</v>
      </c>
      <c r="U39" s="119">
        <f t="shared" si="21"/>
        <v>845.11433590497074</v>
      </c>
      <c r="V39" s="119">
        <f t="shared" si="21"/>
        <v>804.43303941854276</v>
      </c>
      <c r="W39" s="119">
        <f t="shared" si="21"/>
        <v>763.75174293211478</v>
      </c>
      <c r="Y39" s="130" t="s">
        <v>48</v>
      </c>
      <c r="Z39" s="129" t="s">
        <v>103</v>
      </c>
      <c r="AA39" s="129" t="s">
        <v>104</v>
      </c>
      <c r="AB39" s="129" t="s">
        <v>105</v>
      </c>
      <c r="AC39" s="129" t="s">
        <v>106</v>
      </c>
      <c r="AD39" s="129" t="s">
        <v>107</v>
      </c>
      <c r="AE39" s="129" t="s">
        <v>108</v>
      </c>
      <c r="AF39" s="129" t="s">
        <v>109</v>
      </c>
    </row>
    <row r="40" spans="1:32" x14ac:dyDescent="0.25">
      <c r="A40" s="2" t="s">
        <v>38</v>
      </c>
      <c r="B40" s="25">
        <v>66762</v>
      </c>
      <c r="C40" s="50">
        <v>63953.809318476291</v>
      </c>
      <c r="D40" s="50">
        <v>61145.618636952582</v>
      </c>
      <c r="E40" s="50">
        <v>58337.427955428873</v>
      </c>
      <c r="F40" s="50">
        <v>55529.237273905164</v>
      </c>
      <c r="G40" s="50">
        <v>52721.046592381455</v>
      </c>
      <c r="I40" s="197" t="s">
        <v>134</v>
      </c>
      <c r="J40" s="178">
        <f t="shared" ref="J40:M41" si="22">AB40-AC40</f>
        <v>3266</v>
      </c>
      <c r="K40" s="178">
        <f t="shared" si="22"/>
        <v>2467</v>
      </c>
      <c r="L40" s="178">
        <f t="shared" si="22"/>
        <v>3228</v>
      </c>
      <c r="M40" s="178">
        <f t="shared" si="22"/>
        <v>3414</v>
      </c>
      <c r="N40" s="44" t="s">
        <v>52</v>
      </c>
      <c r="P40" s="20"/>
      <c r="Q40" s="169" t="s">
        <v>137</v>
      </c>
      <c r="R40" s="119">
        <f t="shared" si="21"/>
        <v>308.17466415286833</v>
      </c>
      <c r="S40" s="119">
        <f t="shared" si="21"/>
        <v>295.21200245675698</v>
      </c>
      <c r="T40" s="119">
        <f t="shared" si="21"/>
        <v>282.24934076064562</v>
      </c>
      <c r="U40" s="119">
        <f t="shared" si="21"/>
        <v>269.28667906453427</v>
      </c>
      <c r="V40" s="119">
        <f t="shared" si="21"/>
        <v>256.32401736842297</v>
      </c>
      <c r="W40" s="119">
        <f t="shared" si="21"/>
        <v>243.36135567231162</v>
      </c>
      <c r="Y40" s="2" t="s">
        <v>38</v>
      </c>
      <c r="Z40" s="32">
        <v>83687</v>
      </c>
      <c r="AA40" s="32">
        <v>80420</v>
      </c>
      <c r="AB40" s="32">
        <v>79137</v>
      </c>
      <c r="AC40" s="32">
        <v>75871</v>
      </c>
      <c r="AD40" s="32">
        <v>73404</v>
      </c>
      <c r="AE40" s="32">
        <v>70176</v>
      </c>
      <c r="AF40" s="32">
        <v>66762</v>
      </c>
    </row>
    <row r="41" spans="1:32" x14ac:dyDescent="0.25">
      <c r="A41" s="2" t="s">
        <v>39</v>
      </c>
      <c r="B41" s="25">
        <v>21273</v>
      </c>
      <c r="C41" s="50">
        <v>20378.19995853848</v>
      </c>
      <c r="D41" s="50">
        <v>19483.39991707696</v>
      </c>
      <c r="E41" s="50">
        <v>18588.59987561544</v>
      </c>
      <c r="F41" s="50">
        <v>17693.799834153921</v>
      </c>
      <c r="G41" s="50">
        <v>16798.999792692401</v>
      </c>
      <c r="I41" s="197" t="s">
        <v>136</v>
      </c>
      <c r="J41" s="178">
        <f t="shared" si="22"/>
        <v>915.75</v>
      </c>
      <c r="K41" s="178">
        <f t="shared" si="22"/>
        <v>553.25</v>
      </c>
      <c r="L41" s="178">
        <f t="shared" si="22"/>
        <v>664</v>
      </c>
      <c r="M41" s="178">
        <f t="shared" si="22"/>
        <v>776</v>
      </c>
      <c r="N41" s="44" t="s">
        <v>52</v>
      </c>
      <c r="P41" s="20"/>
      <c r="Q41" s="162" t="s">
        <v>138</v>
      </c>
      <c r="R41" s="119">
        <f t="shared" ref="R41:W42" si="23">B42*$J$14</f>
        <v>0</v>
      </c>
      <c r="S41" s="119">
        <f t="shared" si="23"/>
        <v>0</v>
      </c>
      <c r="T41" s="119">
        <f t="shared" si="23"/>
        <v>0</v>
      </c>
      <c r="U41" s="119">
        <f t="shared" si="23"/>
        <v>0</v>
      </c>
      <c r="V41" s="119">
        <f t="shared" si="23"/>
        <v>0</v>
      </c>
      <c r="W41" s="119">
        <f t="shared" si="23"/>
        <v>0</v>
      </c>
      <c r="Y41" s="2" t="s">
        <v>39</v>
      </c>
      <c r="Z41" s="145">
        <v>25231</v>
      </c>
      <c r="AA41" s="145">
        <v>24474</v>
      </c>
      <c r="AB41" s="145">
        <v>24182</v>
      </c>
      <c r="AC41" s="145">
        <v>23266.25</v>
      </c>
      <c r="AD41" s="145">
        <v>22713</v>
      </c>
      <c r="AE41" s="145">
        <v>22049</v>
      </c>
      <c r="AF41" s="145">
        <v>21273</v>
      </c>
    </row>
    <row r="42" spans="1:32" x14ac:dyDescent="0.25">
      <c r="A42" s="2" t="s">
        <v>40</v>
      </c>
      <c r="B42" s="25">
        <v>0</v>
      </c>
      <c r="C42" s="50">
        <v>0</v>
      </c>
      <c r="D42" s="50"/>
      <c r="E42" s="50"/>
      <c r="F42" s="50"/>
      <c r="G42" s="50"/>
      <c r="I42" s="197" t="s">
        <v>43</v>
      </c>
      <c r="J42" s="178">
        <f t="shared" ref="J42:M44" si="24">AB45-AC45</f>
        <v>48</v>
      </c>
      <c r="K42" s="178">
        <f t="shared" si="24"/>
        <v>18</v>
      </c>
      <c r="L42" s="178">
        <f t="shared" si="24"/>
        <v>44</v>
      </c>
      <c r="M42" s="178">
        <f t="shared" si="24"/>
        <v>65</v>
      </c>
      <c r="N42" s="44" t="s">
        <v>52</v>
      </c>
      <c r="P42" s="20"/>
      <c r="Q42" s="169" t="s">
        <v>139</v>
      </c>
      <c r="R42" s="119">
        <f t="shared" si="23"/>
        <v>82.791481179310793</v>
      </c>
      <c r="S42" s="119">
        <f t="shared" si="23"/>
        <v>82.791481179310793</v>
      </c>
      <c r="T42" s="119">
        <f t="shared" si="23"/>
        <v>82.791481179310793</v>
      </c>
      <c r="U42" s="119">
        <f t="shared" si="23"/>
        <v>82.791481179310793</v>
      </c>
      <c r="V42" s="119">
        <f t="shared" si="23"/>
        <v>82.791481179310793</v>
      </c>
      <c r="W42" s="119">
        <f t="shared" si="23"/>
        <v>82.791481179310793</v>
      </c>
      <c r="Y42" s="81" t="s">
        <v>40</v>
      </c>
      <c r="Z42" s="145">
        <v>0</v>
      </c>
      <c r="AA42" s="145">
        <v>0</v>
      </c>
      <c r="AB42" s="145">
        <v>0</v>
      </c>
      <c r="AC42" s="145">
        <v>0</v>
      </c>
      <c r="AD42" s="145">
        <v>0</v>
      </c>
      <c r="AE42" s="145">
        <v>0</v>
      </c>
      <c r="AF42" s="145">
        <v>0</v>
      </c>
    </row>
    <row r="43" spans="1:32" x14ac:dyDescent="0.25">
      <c r="A43" s="2" t="s">
        <v>41</v>
      </c>
      <c r="B43" s="25">
        <v>63919</v>
      </c>
      <c r="C43" s="50">
        <v>63919</v>
      </c>
      <c r="D43" s="50">
        <v>63919</v>
      </c>
      <c r="E43" s="50">
        <v>63919</v>
      </c>
      <c r="F43" s="50">
        <v>63919</v>
      </c>
      <c r="G43" s="50">
        <v>63919</v>
      </c>
      <c r="I43" s="197" t="s">
        <v>44</v>
      </c>
      <c r="J43" s="178">
        <f t="shared" si="24"/>
        <v>0</v>
      </c>
      <c r="K43" s="178">
        <f t="shared" si="24"/>
        <v>0</v>
      </c>
      <c r="L43" s="178">
        <f t="shared" si="24"/>
        <v>0</v>
      </c>
      <c r="M43" s="178">
        <f t="shared" si="24"/>
        <v>0</v>
      </c>
      <c r="N43" s="44" t="s">
        <v>52</v>
      </c>
      <c r="P43" s="20"/>
      <c r="Q43" s="162" t="s">
        <v>140</v>
      </c>
      <c r="R43" s="119">
        <f t="shared" ref="R43:W43" si="25">B44*$J$15</f>
        <v>138.46002945807717</v>
      </c>
      <c r="S43" s="119">
        <f t="shared" si="25"/>
        <v>139.52725911249803</v>
      </c>
      <c r="T43" s="119">
        <f t="shared" si="25"/>
        <v>140.59448876691889</v>
      </c>
      <c r="U43" s="119">
        <f t="shared" si="25"/>
        <v>141.66171842133974</v>
      </c>
      <c r="V43" s="119">
        <f t="shared" si="25"/>
        <v>142.7289480757606</v>
      </c>
      <c r="W43" s="119">
        <f t="shared" si="25"/>
        <v>143.79617773018145</v>
      </c>
      <c r="Y43" s="2" t="s">
        <v>41</v>
      </c>
      <c r="Z43" s="145">
        <v>70546</v>
      </c>
      <c r="AA43" s="145">
        <v>69147</v>
      </c>
      <c r="AB43" s="145">
        <v>68562</v>
      </c>
      <c r="AC43" s="145">
        <v>66949.75</v>
      </c>
      <c r="AD43" s="145">
        <v>66090</v>
      </c>
      <c r="AE43" s="145">
        <v>65053</v>
      </c>
      <c r="AF43" s="145">
        <v>63919</v>
      </c>
    </row>
    <row r="44" spans="1:32" x14ac:dyDescent="0.25">
      <c r="A44" s="2" t="s">
        <v>42</v>
      </c>
      <c r="B44" s="25">
        <v>526476</v>
      </c>
      <c r="C44" s="50">
        <v>530534</v>
      </c>
      <c r="D44" s="50">
        <v>534592</v>
      </c>
      <c r="E44" s="50">
        <v>538650</v>
      </c>
      <c r="F44" s="50">
        <v>542708</v>
      </c>
      <c r="G44" s="50">
        <v>546766</v>
      </c>
      <c r="I44" s="59" t="s">
        <v>45</v>
      </c>
      <c r="J44" s="178">
        <f t="shared" si="24"/>
        <v>177</v>
      </c>
      <c r="K44" s="178">
        <f t="shared" si="24"/>
        <v>85</v>
      </c>
      <c r="L44" s="178">
        <f t="shared" si="24"/>
        <v>258</v>
      </c>
      <c r="M44" s="178">
        <f t="shared" si="24"/>
        <v>253</v>
      </c>
      <c r="N44" s="44" t="s">
        <v>52</v>
      </c>
      <c r="P44" s="20"/>
      <c r="Q44" s="169" t="s">
        <v>142</v>
      </c>
      <c r="R44" s="119">
        <f t="shared" ref="R44:W45" si="26">B45*$J$13</f>
        <v>16.514789504736985</v>
      </c>
      <c r="S44" s="119">
        <f t="shared" si="26"/>
        <v>15.820132694058335</v>
      </c>
      <c r="T44" s="119">
        <f t="shared" si="26"/>
        <v>15.125475883379686</v>
      </c>
      <c r="U44" s="119">
        <f t="shared" si="26"/>
        <v>14.430819072701038</v>
      </c>
      <c r="V44" s="119">
        <f t="shared" si="26"/>
        <v>13.736162262022388</v>
      </c>
      <c r="W44" s="119">
        <f t="shared" si="26"/>
        <v>13.041505451343738</v>
      </c>
      <c r="Y44" s="2" t="s">
        <v>42</v>
      </c>
      <c r="Z44" s="145">
        <v>466792</v>
      </c>
      <c r="AA44" s="145">
        <v>480480</v>
      </c>
      <c r="AB44" s="145">
        <v>486540</v>
      </c>
      <c r="AC44" s="145">
        <v>498730</v>
      </c>
      <c r="AD44" s="145">
        <v>506642</v>
      </c>
      <c r="AE44" s="145">
        <v>515692</v>
      </c>
      <c r="AF44" s="145">
        <v>526476</v>
      </c>
    </row>
    <row r="45" spans="1:32" x14ac:dyDescent="0.25">
      <c r="A45" s="2" t="s">
        <v>43</v>
      </c>
      <c r="B45" s="25">
        <v>1140</v>
      </c>
      <c r="C45" s="50">
        <v>1092.0485099766779</v>
      </c>
      <c r="D45" s="50">
        <v>1044.0970199533558</v>
      </c>
      <c r="E45" s="50">
        <v>996.14552993003372</v>
      </c>
      <c r="F45" s="50">
        <v>948.19403990671162</v>
      </c>
      <c r="G45" s="50">
        <v>900.24254988338953</v>
      </c>
      <c r="I45" s="199" t="s">
        <v>141</v>
      </c>
      <c r="J45" s="200">
        <f>SUM(J40:J44)</f>
        <v>4406.75</v>
      </c>
      <c r="K45" s="200">
        <f t="shared" ref="K45:M45" si="27">SUM(K40:K44)</f>
        <v>3123.25</v>
      </c>
      <c r="L45" s="200">
        <f t="shared" si="27"/>
        <v>4194</v>
      </c>
      <c r="M45" s="200">
        <f t="shared" si="27"/>
        <v>4508</v>
      </c>
      <c r="N45" s="198">
        <f>ROUND(AVERAGE(J45:M45),0)</f>
        <v>4058</v>
      </c>
      <c r="P45" s="20"/>
      <c r="Q45" s="162" t="s">
        <v>143</v>
      </c>
      <c r="R45" s="119">
        <f t="shared" si="26"/>
        <v>0</v>
      </c>
      <c r="S45" s="119">
        <f t="shared" si="26"/>
        <v>0</v>
      </c>
      <c r="T45" s="119">
        <f t="shared" si="26"/>
        <v>0</v>
      </c>
      <c r="U45" s="119">
        <f t="shared" si="26"/>
        <v>0</v>
      </c>
      <c r="V45" s="119">
        <f t="shared" si="26"/>
        <v>0</v>
      </c>
      <c r="W45" s="119">
        <f t="shared" si="26"/>
        <v>0</v>
      </c>
      <c r="Y45" s="2" t="s">
        <v>43</v>
      </c>
      <c r="Z45" s="145">
        <v>1363</v>
      </c>
      <c r="AA45" s="145">
        <v>1334</v>
      </c>
      <c r="AB45" s="145">
        <v>1315</v>
      </c>
      <c r="AC45" s="145">
        <v>1267</v>
      </c>
      <c r="AD45" s="145">
        <v>1249</v>
      </c>
      <c r="AE45" s="145">
        <v>1205</v>
      </c>
      <c r="AF45" s="145">
        <v>1140</v>
      </c>
    </row>
    <row r="46" spans="1:32" x14ac:dyDescent="0.25">
      <c r="A46" s="2" t="s">
        <v>44</v>
      </c>
      <c r="B46" s="25">
        <v>0</v>
      </c>
      <c r="C46" s="50">
        <v>0</v>
      </c>
      <c r="D46" s="50"/>
      <c r="E46" s="50"/>
      <c r="F46" s="50"/>
      <c r="G46" s="50"/>
      <c r="I46" s="197" t="s">
        <v>203</v>
      </c>
      <c r="J46" s="178"/>
      <c r="K46" s="178"/>
      <c r="L46" s="178"/>
      <c r="M46" s="178"/>
      <c r="N46" s="81"/>
      <c r="P46" s="20"/>
      <c r="Q46" s="169" t="s">
        <v>145</v>
      </c>
      <c r="R46" s="119">
        <f t="shared" ref="R46:W46" si="28">B47*$J$16</f>
        <v>35.757701512737604</v>
      </c>
      <c r="S46" s="119">
        <f t="shared" si="28"/>
        <v>34.253635664189389</v>
      </c>
      <c r="T46" s="119">
        <f t="shared" si="28"/>
        <v>32.749569815641173</v>
      </c>
      <c r="U46" s="119">
        <f t="shared" si="28"/>
        <v>31.245503967092954</v>
      </c>
      <c r="V46" s="119">
        <f t="shared" si="28"/>
        <v>29.741438118544739</v>
      </c>
      <c r="W46" s="119">
        <f t="shared" si="28"/>
        <v>28.23737226999652</v>
      </c>
      <c r="Y46" s="2" t="s">
        <v>44</v>
      </c>
      <c r="Z46" s="145">
        <v>0</v>
      </c>
      <c r="AA46" s="145">
        <v>0</v>
      </c>
      <c r="AB46" s="145">
        <v>0</v>
      </c>
      <c r="AC46" s="145">
        <v>0</v>
      </c>
      <c r="AD46" s="145">
        <v>0</v>
      </c>
      <c r="AE46" s="145">
        <v>0</v>
      </c>
      <c r="AF46" s="145">
        <v>0</v>
      </c>
    </row>
    <row r="47" spans="1:32" x14ac:dyDescent="0.25">
      <c r="A47" s="2" t="s">
        <v>45</v>
      </c>
      <c r="B47" s="25">
        <v>7300</v>
      </c>
      <c r="C47" s="93">
        <v>6992.9422130085513</v>
      </c>
      <c r="D47" s="93">
        <v>6685.8844260171027</v>
      </c>
      <c r="E47" s="93">
        <v>6378.826639025654</v>
      </c>
      <c r="F47" s="93">
        <v>6071.7688520342053</v>
      </c>
      <c r="G47" s="93">
        <v>5764.7110650427567</v>
      </c>
      <c r="P47" s="20"/>
      <c r="Q47" s="162" t="s">
        <v>146</v>
      </c>
      <c r="R47" s="119">
        <f t="shared" ref="R47:W47" si="29">B48*$J$13</f>
        <v>1218.3858390407011</v>
      </c>
      <c r="S47" s="119">
        <f t="shared" si="29"/>
        <v>1218.3858390407011</v>
      </c>
      <c r="T47" s="119">
        <f t="shared" si="29"/>
        <v>1218.3858390407011</v>
      </c>
      <c r="U47" s="119">
        <f t="shared" si="29"/>
        <v>1218.3858390407011</v>
      </c>
      <c r="V47" s="119">
        <f t="shared" si="29"/>
        <v>1218.3858390407011</v>
      </c>
      <c r="W47" s="119">
        <f t="shared" si="29"/>
        <v>1218.3858390407011</v>
      </c>
      <c r="Y47" s="2" t="s">
        <v>45</v>
      </c>
      <c r="Z47" s="145">
        <v>8408</v>
      </c>
      <c r="AA47" s="145">
        <v>8133</v>
      </c>
      <c r="AB47" s="145">
        <v>8073</v>
      </c>
      <c r="AC47" s="145">
        <v>7896</v>
      </c>
      <c r="AD47" s="145">
        <v>7811</v>
      </c>
      <c r="AE47" s="145">
        <v>7553</v>
      </c>
      <c r="AF47" s="145">
        <v>7300</v>
      </c>
    </row>
    <row r="48" spans="1:32" x14ac:dyDescent="0.25">
      <c r="A48" s="2" t="s">
        <v>46</v>
      </c>
      <c r="B48" s="25">
        <v>84104</v>
      </c>
      <c r="C48" s="50">
        <v>84104</v>
      </c>
      <c r="D48" s="50">
        <v>84104</v>
      </c>
      <c r="E48" s="50">
        <v>84104</v>
      </c>
      <c r="F48" s="50">
        <v>84104</v>
      </c>
      <c r="G48" s="50">
        <v>84104</v>
      </c>
      <c r="I48" s="143" t="s">
        <v>144</v>
      </c>
      <c r="J48" s="81"/>
      <c r="K48" s="81"/>
      <c r="L48" s="81"/>
      <c r="M48" s="81"/>
      <c r="N48" s="81"/>
      <c r="P48" s="20"/>
      <c r="Q48" s="169" t="s">
        <v>148</v>
      </c>
      <c r="R48" s="119">
        <f t="shared" ref="R48" si="30">SUM(R39:R47)</f>
        <v>2767.2427302126866</v>
      </c>
      <c r="S48" s="119">
        <f t="shared" ref="S48:T48" si="31">SUM(S39:S47)</f>
        <v>2712.4672790253417</v>
      </c>
      <c r="T48" s="119">
        <f t="shared" si="31"/>
        <v>2657.6918278379962</v>
      </c>
      <c r="U48" s="119">
        <f t="shared" ref="U48:W48" si="32">SUM(U39:U47)</f>
        <v>2602.9163766506504</v>
      </c>
      <c r="V48" s="119">
        <f t="shared" si="32"/>
        <v>2548.1409254633054</v>
      </c>
      <c r="W48" s="119">
        <f t="shared" si="32"/>
        <v>2493.36547427596</v>
      </c>
      <c r="Y48" s="2" t="s">
        <v>46</v>
      </c>
      <c r="Z48" s="145">
        <v>105355</v>
      </c>
      <c r="AA48" s="145">
        <v>96068</v>
      </c>
      <c r="AB48" s="145">
        <v>95999</v>
      </c>
      <c r="AC48" s="145">
        <v>93914</v>
      </c>
      <c r="AD48" s="145">
        <v>92596</v>
      </c>
      <c r="AE48" s="145">
        <v>91919</v>
      </c>
      <c r="AF48" s="145">
        <v>84104</v>
      </c>
    </row>
    <row r="49" spans="1:33" x14ac:dyDescent="0.25">
      <c r="A49" s="2" t="s">
        <v>50</v>
      </c>
      <c r="B49" s="25">
        <v>770974</v>
      </c>
      <c r="C49" s="50">
        <v>770974</v>
      </c>
      <c r="D49" s="50">
        <v>770973.99999999988</v>
      </c>
      <c r="E49" s="50">
        <v>770974</v>
      </c>
      <c r="F49" s="50">
        <v>770974</v>
      </c>
      <c r="G49" s="50">
        <v>770974</v>
      </c>
      <c r="I49" s="186" t="s">
        <v>110</v>
      </c>
      <c r="J49" s="135" t="s">
        <v>69</v>
      </c>
      <c r="K49" s="135" t="s">
        <v>70</v>
      </c>
      <c r="L49" s="135" t="s">
        <v>71</v>
      </c>
      <c r="M49" s="135" t="s">
        <v>72</v>
      </c>
      <c r="N49" s="187" t="s">
        <v>73</v>
      </c>
      <c r="P49" s="20"/>
      <c r="Q49" s="166" t="s">
        <v>141</v>
      </c>
      <c r="R49" s="161">
        <f t="shared" ref="R49:W49" si="33">R38+R48</f>
        <v>5693.3368721027673</v>
      </c>
      <c r="S49" s="161">
        <f t="shared" si="33"/>
        <v>5501.6328522174035</v>
      </c>
      <c r="T49" s="161">
        <f t="shared" si="33"/>
        <v>5330.9621775047035</v>
      </c>
      <c r="U49" s="161">
        <f t="shared" si="33"/>
        <v>5160.2915027920035</v>
      </c>
      <c r="V49" s="161">
        <f t="shared" si="33"/>
        <v>4990.7492488918497</v>
      </c>
      <c r="W49" s="161">
        <f t="shared" si="33"/>
        <v>4821.206994991695</v>
      </c>
      <c r="Y49" s="2" t="s">
        <v>50</v>
      </c>
      <c r="Z49" s="145">
        <f>SUM(Z40:Z48)</f>
        <v>761382</v>
      </c>
      <c r="AA49" s="145">
        <f>SUM(AA40:AA48)</f>
        <v>760056</v>
      </c>
      <c r="AB49" s="145">
        <f>SUM(AB40:AB48)</f>
        <v>763808</v>
      </c>
      <c r="AC49" s="145">
        <f>SUM(AC40:AC48)</f>
        <v>767894</v>
      </c>
      <c r="AD49" s="145">
        <f t="shared" ref="AD49:AE49" si="34">SUM(AD40:AD48)</f>
        <v>770505</v>
      </c>
      <c r="AE49" s="145">
        <f t="shared" si="34"/>
        <v>773647</v>
      </c>
      <c r="AF49" s="145">
        <f t="shared" ref="AF49" si="35">SUM(AF40:AF48)</f>
        <v>770974</v>
      </c>
    </row>
    <row r="50" spans="1:33" x14ac:dyDescent="0.25">
      <c r="A50" s="2" t="s">
        <v>203</v>
      </c>
      <c r="B50" s="25"/>
      <c r="C50" s="50"/>
      <c r="D50" s="50"/>
      <c r="E50" s="50"/>
      <c r="F50" s="50"/>
      <c r="G50" s="50"/>
      <c r="I50" s="156" t="s">
        <v>147</v>
      </c>
      <c r="J50" s="157">
        <v>0</v>
      </c>
      <c r="K50" s="157">
        <v>0</v>
      </c>
      <c r="L50" s="157">
        <v>0</v>
      </c>
      <c r="M50" s="157">
        <v>0</v>
      </c>
      <c r="N50" s="157">
        <v>0</v>
      </c>
      <c r="P50" s="20"/>
      <c r="Q50" s="2" t="s">
        <v>203</v>
      </c>
      <c r="R50" s="119"/>
      <c r="S50" s="119"/>
      <c r="T50" s="119"/>
      <c r="U50" s="119"/>
      <c r="V50" s="119"/>
      <c r="W50" s="119"/>
      <c r="Y50" s="81" t="s">
        <v>149</v>
      </c>
      <c r="Z50" s="147"/>
      <c r="AA50" s="148"/>
      <c r="AB50" s="148"/>
      <c r="AC50" s="148"/>
      <c r="AD50" s="148"/>
      <c r="AE50" s="148"/>
      <c r="AF50" s="148"/>
      <c r="AG50" s="149"/>
    </row>
    <row r="51" spans="1:33" x14ac:dyDescent="0.25">
      <c r="B51" s="50"/>
      <c r="C51" s="50"/>
      <c r="D51" s="50"/>
      <c r="E51" s="50"/>
      <c r="F51" s="50"/>
      <c r="G51" s="50"/>
      <c r="I51" s="81" t="s">
        <v>28</v>
      </c>
      <c r="J51" s="157">
        <v>0</v>
      </c>
      <c r="K51" s="157">
        <v>0</v>
      </c>
      <c r="L51" s="157">
        <v>0</v>
      </c>
      <c r="M51" s="157">
        <v>0</v>
      </c>
      <c r="N51" s="157">
        <v>0</v>
      </c>
      <c r="P51" s="20"/>
      <c r="R51" s="119"/>
      <c r="S51" s="119"/>
      <c r="T51" s="119"/>
      <c r="U51" s="119"/>
      <c r="V51" s="119"/>
      <c r="W51" s="119"/>
      <c r="Y51" s="81"/>
      <c r="Z51" s="147"/>
      <c r="AA51" s="148"/>
      <c r="AB51" s="148"/>
      <c r="AC51" s="148"/>
      <c r="AD51" s="148"/>
      <c r="AE51" s="148"/>
      <c r="AF51" s="148"/>
      <c r="AG51" s="149"/>
    </row>
    <row r="52" spans="1:33" x14ac:dyDescent="0.25">
      <c r="B52" s="50"/>
      <c r="C52" s="50"/>
      <c r="D52" s="50"/>
      <c r="E52" s="50"/>
      <c r="F52" s="50"/>
      <c r="G52" s="50"/>
      <c r="I52" s="2" t="s">
        <v>203</v>
      </c>
      <c r="J52" s="157"/>
      <c r="K52" s="157"/>
      <c r="L52" s="157"/>
      <c r="M52" s="157"/>
      <c r="N52" s="157"/>
      <c r="P52" s="20"/>
      <c r="R52" s="119"/>
      <c r="S52" s="119"/>
      <c r="T52" s="119"/>
      <c r="U52" s="119"/>
      <c r="V52" s="119"/>
      <c r="W52" s="119"/>
      <c r="Y52" s="81"/>
      <c r="Z52" s="147"/>
      <c r="AA52" s="148"/>
      <c r="AB52" s="148"/>
      <c r="AC52" s="148"/>
      <c r="AD52" s="148"/>
      <c r="AE52" s="148"/>
      <c r="AF52" s="148"/>
      <c r="AG52" s="149"/>
    </row>
    <row r="53" spans="1:33" x14ac:dyDescent="0.25">
      <c r="B53" s="50"/>
      <c r="C53" s="50"/>
      <c r="D53" s="50"/>
      <c r="E53" s="50"/>
      <c r="F53" s="50"/>
      <c r="G53" s="50"/>
      <c r="J53" s="157"/>
      <c r="K53" s="157"/>
      <c r="L53" s="157"/>
      <c r="M53" s="157"/>
      <c r="N53" s="157"/>
      <c r="P53" s="20"/>
      <c r="R53" s="119"/>
      <c r="S53" s="119"/>
      <c r="T53" s="119"/>
      <c r="U53" s="119"/>
      <c r="V53" s="119"/>
      <c r="W53" s="119"/>
      <c r="Y53" s="81"/>
      <c r="Z53" s="147"/>
      <c r="AA53" s="148"/>
      <c r="AB53" s="148"/>
      <c r="AC53" s="148"/>
      <c r="AD53" s="148"/>
      <c r="AE53" s="148"/>
      <c r="AF53" s="148"/>
      <c r="AG53" s="149"/>
    </row>
    <row r="54" spans="1:33" x14ac:dyDescent="0.25">
      <c r="Y54" s="150"/>
    </row>
    <row r="55" spans="1:33" x14ac:dyDescent="0.25">
      <c r="A55" s="18" t="s">
        <v>150</v>
      </c>
      <c r="B55" s="129"/>
      <c r="I55" s="18" t="s">
        <v>150</v>
      </c>
      <c r="O55" s="81"/>
      <c r="Q55" s="18" t="s">
        <v>150</v>
      </c>
      <c r="Y55" s="18" t="s">
        <v>150</v>
      </c>
      <c r="Z55" s="19"/>
      <c r="AA55" s="19"/>
      <c r="AB55" s="151"/>
      <c r="AC55" s="19"/>
      <c r="AD55" s="19"/>
      <c r="AE55" s="19"/>
      <c r="AF55" s="19"/>
    </row>
    <row r="56" spans="1:33" x14ac:dyDescent="0.25">
      <c r="A56" s="135" t="s">
        <v>34</v>
      </c>
      <c r="B56" s="136" t="s">
        <v>94</v>
      </c>
      <c r="C56" s="135" t="s">
        <v>95</v>
      </c>
      <c r="D56" s="135" t="s">
        <v>96</v>
      </c>
      <c r="E56" s="135" t="s">
        <v>97</v>
      </c>
      <c r="F56" s="135" t="s">
        <v>98</v>
      </c>
      <c r="G56" s="135" t="s">
        <v>99</v>
      </c>
      <c r="I56" s="143" t="s">
        <v>151</v>
      </c>
      <c r="J56" s="81"/>
      <c r="K56" s="81"/>
      <c r="L56" s="81"/>
      <c r="M56" s="81"/>
      <c r="N56" s="81"/>
      <c r="O56" s="81"/>
      <c r="Q56" s="135" t="s">
        <v>101</v>
      </c>
      <c r="R56" s="164" t="s">
        <v>102</v>
      </c>
      <c r="S56" s="164" t="s">
        <v>69</v>
      </c>
      <c r="T56" s="164" t="s">
        <v>70</v>
      </c>
      <c r="U56" s="164" t="s">
        <v>71</v>
      </c>
      <c r="V56" s="164" t="s">
        <v>72</v>
      </c>
      <c r="W56" s="165" t="s">
        <v>73</v>
      </c>
      <c r="Y56" s="130" t="s">
        <v>34</v>
      </c>
      <c r="Z56" s="158" t="s">
        <v>103</v>
      </c>
      <c r="AA56" s="158" t="s">
        <v>104</v>
      </c>
      <c r="AB56" s="158" t="s">
        <v>105</v>
      </c>
      <c r="AC56" s="158" t="s">
        <v>106</v>
      </c>
      <c r="AD56" s="158" t="s">
        <v>107</v>
      </c>
      <c r="AE56" s="158" t="s">
        <v>108</v>
      </c>
      <c r="AF56" s="159" t="s">
        <v>109</v>
      </c>
    </row>
    <row r="57" spans="1:33" ht="14.45" customHeight="1" x14ac:dyDescent="0.25">
      <c r="A57" s="2" t="s">
        <v>38</v>
      </c>
      <c r="B57" s="89">
        <v>86.050000000000011</v>
      </c>
      <c r="C57" s="94">
        <f>B57-J60*B57/(B57+B58)</f>
        <v>77.085750927314351</v>
      </c>
      <c r="D57" s="49">
        <f>C57-K60*C57/(C57+C58)</f>
        <v>68.12150185462869</v>
      </c>
      <c r="E57" s="49">
        <f>D57-L60*D57/(D57+D58)</f>
        <v>58.613964959356018</v>
      </c>
      <c r="F57" s="49">
        <f>E57-M60*E57/(E57+E58)</f>
        <v>49.106428064083346</v>
      </c>
      <c r="G57" s="49">
        <f>F57-N60*F57/(F57+F58)</f>
        <v>39.598891168810674</v>
      </c>
      <c r="H57" s="192"/>
      <c r="I57" s="175" t="s">
        <v>110</v>
      </c>
      <c r="J57" s="179" t="s">
        <v>69</v>
      </c>
      <c r="K57" s="179" t="s">
        <v>70</v>
      </c>
      <c r="L57" s="179" t="s">
        <v>71</v>
      </c>
      <c r="M57" s="179" t="s">
        <v>72</v>
      </c>
      <c r="N57" s="179" t="s">
        <v>73</v>
      </c>
      <c r="O57" s="81"/>
      <c r="P57" s="193"/>
      <c r="Q57" s="162" t="s">
        <v>111</v>
      </c>
      <c r="R57" s="47">
        <f t="shared" ref="R57:W58" si="36">B57*$J$9</f>
        <v>74.116984020607561</v>
      </c>
      <c r="S57" s="47">
        <f t="shared" si="36"/>
        <v>66.395855545569916</v>
      </c>
      <c r="T57" s="47">
        <f t="shared" si="36"/>
        <v>58.674727070532271</v>
      </c>
      <c r="U57" s="47">
        <f t="shared" si="36"/>
        <v>50.485651415189317</v>
      </c>
      <c r="V57" s="47">
        <f t="shared" si="36"/>
        <v>42.296575759846363</v>
      </c>
      <c r="W57" s="47">
        <f t="shared" si="36"/>
        <v>34.107500104503409</v>
      </c>
      <c r="Y57" s="2" t="s">
        <v>38</v>
      </c>
      <c r="Z57" s="96">
        <v>142.9</v>
      </c>
      <c r="AA57" s="96">
        <v>129.6</v>
      </c>
      <c r="AB57" s="96">
        <v>128</v>
      </c>
      <c r="AC57" s="96">
        <v>118.20000000000002</v>
      </c>
      <c r="AD57" s="96">
        <v>112.60000000000001</v>
      </c>
      <c r="AE57" s="96">
        <v>99.960000000000008</v>
      </c>
      <c r="AF57" s="145">
        <v>86.050000000000011</v>
      </c>
    </row>
    <row r="58" spans="1:33" x14ac:dyDescent="0.25">
      <c r="A58" s="2" t="s">
        <v>39</v>
      </c>
      <c r="B58" s="89">
        <v>40.660000000000004</v>
      </c>
      <c r="C58" s="94">
        <f>B58-J60*B58/(B57+B58)</f>
        <v>36.424249072685662</v>
      </c>
      <c r="D58" s="49">
        <f>C58-K60*C58/(C57+C58)</f>
        <v>32.188498145371319</v>
      </c>
      <c r="E58" s="49">
        <f>D58-L60*D58/(D57+D58)</f>
        <v>27.696035040643991</v>
      </c>
      <c r="F58" s="49">
        <f>E58-M60*E58/(E57+E58)</f>
        <v>23.203571935916663</v>
      </c>
      <c r="G58" s="49">
        <f>F58-N60*F58/(F57+F58)</f>
        <v>18.711108831189332</v>
      </c>
      <c r="H58" s="95"/>
      <c r="I58" s="81" t="s">
        <v>152</v>
      </c>
      <c r="J58" s="81">
        <f>$M$67</f>
        <v>42</v>
      </c>
      <c r="K58" s="81">
        <f>$M$67</f>
        <v>42</v>
      </c>
      <c r="L58" s="81">
        <f>$M$68</f>
        <v>45</v>
      </c>
      <c r="M58" s="81">
        <f>$M$68</f>
        <v>45</v>
      </c>
      <c r="N58" s="81">
        <f>$M$68</f>
        <v>45</v>
      </c>
      <c r="O58" s="81"/>
      <c r="P58" s="193"/>
      <c r="Q58" s="163" t="s">
        <v>113</v>
      </c>
      <c r="R58" s="47">
        <f t="shared" si="36"/>
        <v>35.021459271097072</v>
      </c>
      <c r="S58" s="47">
        <f t="shared" si="36"/>
        <v>31.373102690097298</v>
      </c>
      <c r="T58" s="47">
        <f t="shared" si="36"/>
        <v>27.724746109097524</v>
      </c>
      <c r="U58" s="47">
        <f t="shared" si="36"/>
        <v>23.855277008037156</v>
      </c>
      <c r="V58" s="47">
        <f t="shared" si="36"/>
        <v>19.985807906976792</v>
      </c>
      <c r="W58" s="47">
        <f t="shared" si="36"/>
        <v>16.116338805916428</v>
      </c>
      <c r="Y58" s="2" t="s">
        <v>39</v>
      </c>
      <c r="Z58" s="96">
        <v>55.9</v>
      </c>
      <c r="AA58" s="96">
        <v>55.3</v>
      </c>
      <c r="AB58" s="96">
        <v>54</v>
      </c>
      <c r="AC58" s="96">
        <v>47.300000000000004</v>
      </c>
      <c r="AD58" s="96">
        <v>46.7</v>
      </c>
      <c r="AE58" s="96">
        <v>43.14</v>
      </c>
      <c r="AF58" s="145">
        <v>40.660000000000004</v>
      </c>
    </row>
    <row r="59" spans="1:33" x14ac:dyDescent="0.25">
      <c r="A59" s="2" t="s">
        <v>40</v>
      </c>
      <c r="B59" s="89">
        <v>0</v>
      </c>
      <c r="C59" s="94">
        <v>0</v>
      </c>
      <c r="D59" s="49">
        <v>0</v>
      </c>
      <c r="E59" s="49">
        <v>0</v>
      </c>
      <c r="F59" s="49">
        <v>0</v>
      </c>
      <c r="G59" s="49">
        <v>0</v>
      </c>
      <c r="H59" s="95"/>
      <c r="I59" s="81" t="s">
        <v>210</v>
      </c>
      <c r="J59" s="178">
        <f>$N$67</f>
        <v>28.8</v>
      </c>
      <c r="K59" s="178">
        <f>$N$67</f>
        <v>28.8</v>
      </c>
      <c r="L59" s="178">
        <f>$N$68</f>
        <v>31</v>
      </c>
      <c r="M59" s="178">
        <f>$N$68</f>
        <v>31</v>
      </c>
      <c r="N59" s="178">
        <f>$N$68</f>
        <v>31</v>
      </c>
      <c r="O59" s="81"/>
      <c r="Q59" s="162" t="s">
        <v>115</v>
      </c>
      <c r="R59" s="47">
        <f t="shared" ref="R59:W60" si="37">B59*$J$10</f>
        <v>0</v>
      </c>
      <c r="S59" s="47">
        <f t="shared" si="37"/>
        <v>0</v>
      </c>
      <c r="T59" s="47">
        <f t="shared" si="37"/>
        <v>0</v>
      </c>
      <c r="U59" s="47">
        <f t="shared" si="37"/>
        <v>0</v>
      </c>
      <c r="V59" s="47">
        <f t="shared" si="37"/>
        <v>0</v>
      </c>
      <c r="W59" s="47">
        <f t="shared" si="37"/>
        <v>0</v>
      </c>
      <c r="Y59" s="81" t="s">
        <v>40</v>
      </c>
      <c r="Z59" s="96">
        <v>0</v>
      </c>
      <c r="AA59" s="96">
        <v>0</v>
      </c>
      <c r="AB59" s="96">
        <v>0</v>
      </c>
      <c r="AC59" s="96">
        <v>0</v>
      </c>
      <c r="AD59" s="96">
        <v>0</v>
      </c>
      <c r="AE59" s="96">
        <v>0</v>
      </c>
      <c r="AF59" s="145">
        <v>0</v>
      </c>
    </row>
    <row r="60" spans="1:33" x14ac:dyDescent="0.25">
      <c r="A60" s="2" t="s">
        <v>41</v>
      </c>
      <c r="B60" s="89">
        <v>2153.2800000000002</v>
      </c>
      <c r="C60" s="94">
        <f>B60</f>
        <v>2153.2800000000002</v>
      </c>
      <c r="D60" s="49">
        <f>C60</f>
        <v>2153.2800000000002</v>
      </c>
      <c r="E60" s="49">
        <f>D60</f>
        <v>2153.2800000000002</v>
      </c>
      <c r="F60" s="49">
        <f>E60</f>
        <v>2153.2800000000002</v>
      </c>
      <c r="G60" s="49">
        <f>F60</f>
        <v>2153.2800000000002</v>
      </c>
      <c r="H60" s="95"/>
      <c r="I60" s="81" t="s">
        <v>211</v>
      </c>
      <c r="J60" s="178">
        <f>$O$67</f>
        <v>13.2</v>
      </c>
      <c r="K60" s="178">
        <f>$O$67</f>
        <v>13.2</v>
      </c>
      <c r="L60" s="178">
        <f>$O$68</f>
        <v>14</v>
      </c>
      <c r="M60" s="178">
        <f>$O$68</f>
        <v>14</v>
      </c>
      <c r="N60" s="178">
        <f>$O$68</f>
        <v>14</v>
      </c>
      <c r="O60" s="81"/>
      <c r="Q60" s="163" t="s">
        <v>117</v>
      </c>
      <c r="R60" s="47">
        <f t="shared" si="37"/>
        <v>208.32751152010471</v>
      </c>
      <c r="S60" s="47">
        <f t="shared" si="37"/>
        <v>208.32751152010471</v>
      </c>
      <c r="T60" s="47">
        <f t="shared" si="37"/>
        <v>208.32751152010471</v>
      </c>
      <c r="U60" s="47">
        <f t="shared" si="37"/>
        <v>208.32751152010471</v>
      </c>
      <c r="V60" s="47">
        <f t="shared" si="37"/>
        <v>208.32751152010471</v>
      </c>
      <c r="W60" s="47">
        <f t="shared" si="37"/>
        <v>208.32751152010471</v>
      </c>
      <c r="Y60" s="2" t="s">
        <v>41</v>
      </c>
      <c r="Z60" s="96">
        <v>2164.6</v>
      </c>
      <c r="AA60" s="96">
        <v>2160.6</v>
      </c>
      <c r="AB60" s="96">
        <v>2158</v>
      </c>
      <c r="AC60" s="96">
        <v>2157.1200000000003</v>
      </c>
      <c r="AD60" s="96">
        <v>2157.7000000000003</v>
      </c>
      <c r="AE60" s="96">
        <v>2155.58</v>
      </c>
      <c r="AF60" s="145">
        <v>2153.2800000000002</v>
      </c>
    </row>
    <row r="61" spans="1:33" x14ac:dyDescent="0.25">
      <c r="A61" s="2" t="s">
        <v>42</v>
      </c>
      <c r="B61" s="89">
        <v>2433.4199999999996</v>
      </c>
      <c r="C61" s="94">
        <f>B61+J58+J74</f>
        <v>2475.4199999999996</v>
      </c>
      <c r="D61" s="49">
        <f>C61+K58+K74</f>
        <v>2517.4199999999996</v>
      </c>
      <c r="E61" s="49">
        <f>D61+L58+L74</f>
        <v>2562.4199999999996</v>
      </c>
      <c r="F61" s="49">
        <f>E61+M58+M74</f>
        <v>2607.4199999999996</v>
      </c>
      <c r="G61" s="49">
        <f>F61+N58+N74</f>
        <v>2652.4199999999996</v>
      </c>
      <c r="H61" s="95"/>
      <c r="I61" s="81" t="s">
        <v>116</v>
      </c>
      <c r="J61" s="157">
        <v>2400</v>
      </c>
      <c r="K61" s="157">
        <f t="shared" ref="K61:L61" si="38">J61</f>
        <v>2400</v>
      </c>
      <c r="L61" s="157">
        <f t="shared" si="38"/>
        <v>2400</v>
      </c>
      <c r="M61" s="157">
        <f t="shared" ref="M61" si="39">L61</f>
        <v>2400</v>
      </c>
      <c r="N61" s="157">
        <f t="shared" ref="N61" si="40">M61</f>
        <v>2400</v>
      </c>
      <c r="O61" s="81"/>
      <c r="Q61" s="162" t="s">
        <v>119</v>
      </c>
      <c r="R61" s="47">
        <f t="shared" ref="R61:W61" si="41">B61*$J$11</f>
        <v>70.197733848830737</v>
      </c>
      <c r="S61" s="47">
        <f t="shared" si="41"/>
        <v>71.409322814833686</v>
      </c>
      <c r="T61" s="47">
        <f t="shared" si="41"/>
        <v>72.620911780836636</v>
      </c>
      <c r="U61" s="47">
        <f t="shared" si="41"/>
        <v>73.919042815839788</v>
      </c>
      <c r="V61" s="47">
        <f t="shared" si="41"/>
        <v>75.21717385084294</v>
      </c>
      <c r="W61" s="47">
        <f t="shared" si="41"/>
        <v>76.515304885846106</v>
      </c>
      <c r="Y61" s="2" t="s">
        <v>42</v>
      </c>
      <c r="Z61" s="96">
        <v>2201.6</v>
      </c>
      <c r="AA61" s="96">
        <v>2239.1</v>
      </c>
      <c r="AB61" s="96">
        <v>2263</v>
      </c>
      <c r="AC61" s="96">
        <v>2291.63</v>
      </c>
      <c r="AD61" s="96">
        <v>2333</v>
      </c>
      <c r="AE61" s="96">
        <v>2386.5300000000002</v>
      </c>
      <c r="AF61" s="145">
        <v>2433.4199999999996</v>
      </c>
    </row>
    <row r="62" spans="1:33" x14ac:dyDescent="0.25">
      <c r="A62" s="2" t="s">
        <v>43</v>
      </c>
      <c r="B62" s="89">
        <v>318.37</v>
      </c>
      <c r="C62" s="94">
        <f>B62-J59</f>
        <v>289.57</v>
      </c>
      <c r="D62" s="49">
        <f>C62-K59</f>
        <v>260.77</v>
      </c>
      <c r="E62" s="49">
        <f>D62-L59</f>
        <v>229.76999999999998</v>
      </c>
      <c r="F62" s="49">
        <f>E62-M59</f>
        <v>198.76999999999998</v>
      </c>
      <c r="G62" s="49">
        <f>F62-N59</f>
        <v>167.76999999999998</v>
      </c>
      <c r="H62" s="95"/>
      <c r="I62" s="81" t="s">
        <v>203</v>
      </c>
      <c r="J62" s="81"/>
      <c r="K62" s="81"/>
      <c r="L62" s="81"/>
      <c r="M62" s="81"/>
      <c r="N62" s="81"/>
      <c r="O62" s="81"/>
      <c r="Q62" s="163" t="s">
        <v>122</v>
      </c>
      <c r="R62" s="47">
        <f t="shared" ref="R62:W64" si="42">B62*$J$8</f>
        <v>368.43946692601997</v>
      </c>
      <c r="S62" s="47">
        <f t="shared" si="42"/>
        <v>335.11014366230364</v>
      </c>
      <c r="T62" s="47">
        <f t="shared" si="42"/>
        <v>301.78082039858725</v>
      </c>
      <c r="U62" s="47">
        <f t="shared" si="42"/>
        <v>265.90550716333701</v>
      </c>
      <c r="V62" s="47">
        <f t="shared" si="42"/>
        <v>230.03019392808676</v>
      </c>
      <c r="W62" s="47">
        <f t="shared" si="42"/>
        <v>194.15488069283651</v>
      </c>
      <c r="Y62" s="2" t="s">
        <v>43</v>
      </c>
      <c r="Z62" s="96">
        <v>423.7</v>
      </c>
      <c r="AA62" s="96">
        <v>410.7</v>
      </c>
      <c r="AB62" s="96">
        <v>401</v>
      </c>
      <c r="AC62" s="96">
        <v>386.7</v>
      </c>
      <c r="AD62" s="96">
        <v>369.80000000000007</v>
      </c>
      <c r="AE62" s="96">
        <v>342.97999999999996</v>
      </c>
      <c r="AF62" s="145">
        <v>318.37</v>
      </c>
    </row>
    <row r="63" spans="1:33" x14ac:dyDescent="0.25">
      <c r="A63" s="2" t="s">
        <v>44</v>
      </c>
      <c r="B63" s="89">
        <v>0</v>
      </c>
      <c r="C63" s="94">
        <v>0</v>
      </c>
      <c r="D63" s="49">
        <v>0</v>
      </c>
      <c r="E63" s="49">
        <v>0</v>
      </c>
      <c r="F63" s="49">
        <v>0</v>
      </c>
      <c r="G63" s="49">
        <v>0</v>
      </c>
      <c r="I63" s="77" t="s">
        <v>212</v>
      </c>
      <c r="O63" s="194"/>
      <c r="Q63" s="162" t="s">
        <v>124</v>
      </c>
      <c r="R63" s="47">
        <f t="shared" si="42"/>
        <v>0</v>
      </c>
      <c r="S63" s="47">
        <f t="shared" si="42"/>
        <v>0</v>
      </c>
      <c r="T63" s="47">
        <f t="shared" si="42"/>
        <v>0</v>
      </c>
      <c r="U63" s="47">
        <f t="shared" si="42"/>
        <v>0</v>
      </c>
      <c r="V63" s="47">
        <f t="shared" si="42"/>
        <v>0</v>
      </c>
      <c r="W63" s="47">
        <f t="shared" si="42"/>
        <v>0</v>
      </c>
      <c r="Y63" s="2" t="s">
        <v>44</v>
      </c>
      <c r="Z63" s="96">
        <v>0</v>
      </c>
      <c r="AA63" s="96">
        <v>0</v>
      </c>
      <c r="AB63" s="96">
        <v>0</v>
      </c>
      <c r="AC63" s="96">
        <v>0</v>
      </c>
      <c r="AD63" s="96">
        <v>0</v>
      </c>
      <c r="AE63" s="96">
        <v>0</v>
      </c>
      <c r="AF63" s="145">
        <v>0</v>
      </c>
    </row>
    <row r="64" spans="1:33" x14ac:dyDescent="0.25">
      <c r="A64" s="2" t="s">
        <v>45</v>
      </c>
      <c r="B64" s="89">
        <v>0</v>
      </c>
      <c r="C64" s="94">
        <v>0</v>
      </c>
      <c r="D64" s="49">
        <v>0</v>
      </c>
      <c r="E64" s="49">
        <v>0</v>
      </c>
      <c r="F64" s="49">
        <v>0</v>
      </c>
      <c r="G64" s="49">
        <v>0</v>
      </c>
      <c r="Q64" s="163" t="s">
        <v>125</v>
      </c>
      <c r="R64" s="47">
        <f t="shared" si="42"/>
        <v>0</v>
      </c>
      <c r="S64" s="47">
        <f t="shared" si="42"/>
        <v>0</v>
      </c>
      <c r="T64" s="47">
        <f t="shared" si="42"/>
        <v>0</v>
      </c>
      <c r="U64" s="47">
        <f t="shared" si="42"/>
        <v>0</v>
      </c>
      <c r="V64" s="47">
        <f t="shared" si="42"/>
        <v>0</v>
      </c>
      <c r="W64" s="47">
        <f t="shared" si="42"/>
        <v>0</v>
      </c>
      <c r="Y64" s="2" t="s">
        <v>45</v>
      </c>
      <c r="Z64" s="96">
        <v>0</v>
      </c>
      <c r="AA64" s="96">
        <v>0</v>
      </c>
      <c r="AB64" s="96">
        <v>0</v>
      </c>
      <c r="AC64" s="96">
        <v>0</v>
      </c>
      <c r="AD64" s="96">
        <v>0</v>
      </c>
      <c r="AE64" s="96">
        <v>0</v>
      </c>
      <c r="AF64" s="145">
        <v>0</v>
      </c>
    </row>
    <row r="65" spans="1:33" x14ac:dyDescent="0.25">
      <c r="A65" s="2" t="s">
        <v>46</v>
      </c>
      <c r="B65" s="89">
        <v>0.7</v>
      </c>
      <c r="C65" s="94">
        <f>B65</f>
        <v>0.7</v>
      </c>
      <c r="D65" s="49">
        <f>C65</f>
        <v>0.7</v>
      </c>
      <c r="E65" s="49">
        <f>D65</f>
        <v>0.7</v>
      </c>
      <c r="F65" s="49">
        <f>E65</f>
        <v>0.7</v>
      </c>
      <c r="G65" s="49">
        <f>F65</f>
        <v>0.7</v>
      </c>
      <c r="I65" s="143" t="s">
        <v>153</v>
      </c>
      <c r="J65" s="143"/>
      <c r="K65" s="143"/>
      <c r="L65" s="143"/>
      <c r="M65" s="143" t="s">
        <v>154</v>
      </c>
      <c r="N65" s="81"/>
      <c r="O65" s="81"/>
      <c r="Q65" s="162" t="s">
        <v>127</v>
      </c>
      <c r="R65" s="47">
        <f t="shared" ref="R65:W65" si="43">B65*$J$9</f>
        <v>0.602927237820166</v>
      </c>
      <c r="S65" s="47">
        <f t="shared" si="43"/>
        <v>0.602927237820166</v>
      </c>
      <c r="T65" s="47">
        <f t="shared" si="43"/>
        <v>0.602927237820166</v>
      </c>
      <c r="U65" s="47">
        <f t="shared" si="43"/>
        <v>0.602927237820166</v>
      </c>
      <c r="V65" s="47">
        <f t="shared" si="43"/>
        <v>0.602927237820166</v>
      </c>
      <c r="W65" s="47">
        <f t="shared" si="43"/>
        <v>0.602927237820166</v>
      </c>
      <c r="Y65" s="2" t="s">
        <v>46</v>
      </c>
      <c r="Z65" s="96">
        <v>0.8</v>
      </c>
      <c r="AA65" s="96">
        <v>0.7</v>
      </c>
      <c r="AB65" s="96">
        <v>1</v>
      </c>
      <c r="AC65" s="96">
        <v>0.7</v>
      </c>
      <c r="AD65" s="96">
        <v>0.7</v>
      </c>
      <c r="AE65" s="96">
        <v>0.7</v>
      </c>
      <c r="AF65" s="96">
        <v>0.7</v>
      </c>
    </row>
    <row r="66" spans="1:33" x14ac:dyDescent="0.25">
      <c r="A66" s="2" t="s">
        <v>47</v>
      </c>
      <c r="B66" s="89">
        <f t="shared" ref="B66:F66" si="44">SUM(B57:B65)</f>
        <v>5032.4799999999996</v>
      </c>
      <c r="C66" s="94">
        <f t="shared" si="44"/>
        <v>5032.4799999999996</v>
      </c>
      <c r="D66" s="49">
        <f t="shared" si="44"/>
        <v>5032.4800000000005</v>
      </c>
      <c r="E66" s="49">
        <f t="shared" si="44"/>
        <v>5032.4800000000005</v>
      </c>
      <c r="F66" s="49">
        <f t="shared" si="44"/>
        <v>5032.4800000000005</v>
      </c>
      <c r="G66" s="49">
        <f t="shared" ref="G66" si="45">SUM(G57:G65)</f>
        <v>5032.4800000000005</v>
      </c>
      <c r="I66" s="174" t="s">
        <v>155</v>
      </c>
      <c r="J66" s="174" t="s">
        <v>152</v>
      </c>
      <c r="K66" s="174" t="s">
        <v>24</v>
      </c>
      <c r="L66" s="174" t="s">
        <v>156</v>
      </c>
      <c r="M66" s="131" t="s">
        <v>157</v>
      </c>
      <c r="N66" s="131" t="s">
        <v>158</v>
      </c>
      <c r="O66" s="174" t="s">
        <v>159</v>
      </c>
      <c r="Q66" s="163" t="s">
        <v>133</v>
      </c>
      <c r="R66" s="47">
        <f t="shared" ref="R66:W66" si="46">SUM(R57:R65)</f>
        <v>756.70608282448018</v>
      </c>
      <c r="S66" s="47">
        <f t="shared" si="46"/>
        <v>713.21886347072939</v>
      </c>
      <c r="T66" s="47">
        <f t="shared" si="46"/>
        <v>669.7316441169786</v>
      </c>
      <c r="U66" s="47">
        <f t="shared" si="46"/>
        <v>623.0959171603281</v>
      </c>
      <c r="V66" s="47">
        <f t="shared" si="46"/>
        <v>576.46019020367771</v>
      </c>
      <c r="W66" s="47">
        <f t="shared" si="46"/>
        <v>529.82446324702732</v>
      </c>
      <c r="Y66" s="2" t="s">
        <v>47</v>
      </c>
      <c r="Z66" s="96">
        <f>SUM(Z57:Z65)</f>
        <v>4989.5</v>
      </c>
      <c r="AA66" s="96">
        <f>SUM(AA57:AA65)</f>
        <v>4996</v>
      </c>
      <c r="AB66" s="96">
        <f>SUM(AB57:AB65)</f>
        <v>5005</v>
      </c>
      <c r="AC66" s="96">
        <f>SUM(AC57:AC65)</f>
        <v>5001.6499999999996</v>
      </c>
      <c r="AD66" s="96">
        <f t="shared" ref="AD66:AE66" si="47">SUM(AD57:AD65)</f>
        <v>5020.5</v>
      </c>
      <c r="AE66" s="96">
        <f t="shared" si="47"/>
        <v>5028.8899999999994</v>
      </c>
      <c r="AF66" s="96">
        <f t="shared" ref="AF66" si="48">SUM(AF57:AF65)</f>
        <v>5032.4799999999996</v>
      </c>
    </row>
    <row r="67" spans="1:33" x14ac:dyDescent="0.25">
      <c r="A67" s="135" t="s">
        <v>48</v>
      </c>
      <c r="B67" s="136" t="s">
        <v>94</v>
      </c>
      <c r="C67" s="135" t="s">
        <v>95</v>
      </c>
      <c r="D67" s="135" t="s">
        <v>96</v>
      </c>
      <c r="E67" s="135" t="s">
        <v>97</v>
      </c>
      <c r="F67" s="135" t="s">
        <v>98</v>
      </c>
      <c r="G67" s="135" t="s">
        <v>99</v>
      </c>
      <c r="H67" s="81"/>
      <c r="I67" s="81" t="s">
        <v>160</v>
      </c>
      <c r="J67" s="81">
        <v>210</v>
      </c>
      <c r="K67" s="81">
        <v>144</v>
      </c>
      <c r="L67" s="81">
        <v>66</v>
      </c>
      <c r="M67" s="81">
        <f>J67/5</f>
        <v>42</v>
      </c>
      <c r="N67" s="81">
        <f t="shared" ref="N67:O68" si="49">K67/5</f>
        <v>28.8</v>
      </c>
      <c r="O67" s="81">
        <f t="shared" si="49"/>
        <v>13.2</v>
      </c>
      <c r="Q67" s="162" t="s">
        <v>135</v>
      </c>
      <c r="R67" s="47">
        <f t="shared" ref="R67:W68" si="50">B68*$J$13</f>
        <v>379.28966562545941</v>
      </c>
      <c r="S67" s="47">
        <f t="shared" si="50"/>
        <v>346.17838970878898</v>
      </c>
      <c r="T67" s="47">
        <f t="shared" si="50"/>
        <v>313.06711379211862</v>
      </c>
      <c r="U67" s="47">
        <f t="shared" si="50"/>
        <v>279.9558378754482</v>
      </c>
      <c r="V67" s="47">
        <f t="shared" si="50"/>
        <v>246.8445619587778</v>
      </c>
      <c r="W67" s="47">
        <f t="shared" si="50"/>
        <v>213.73328604210741</v>
      </c>
      <c r="Y67" s="130" t="s">
        <v>48</v>
      </c>
      <c r="Z67" s="158" t="s">
        <v>103</v>
      </c>
      <c r="AA67" s="158" t="s">
        <v>104</v>
      </c>
      <c r="AB67" s="158" t="s">
        <v>105</v>
      </c>
      <c r="AC67" s="158" t="s">
        <v>106</v>
      </c>
      <c r="AD67" s="158" t="s">
        <v>107</v>
      </c>
      <c r="AE67" s="158" t="s">
        <v>108</v>
      </c>
      <c r="AF67" s="159" t="s">
        <v>109</v>
      </c>
      <c r="AG67" s="92"/>
    </row>
    <row r="68" spans="1:33" x14ac:dyDescent="0.25">
      <c r="A68" s="2" t="s">
        <v>38</v>
      </c>
      <c r="B68" s="25">
        <v>26182</v>
      </c>
      <c r="C68" s="97">
        <f t="shared" ref="C68:G69" si="51">B68-J$61*B68/(B$68+B$69+B$75)</f>
        <v>23896.360541248363</v>
      </c>
      <c r="D68" s="93">
        <f t="shared" si="51"/>
        <v>21610.721082496726</v>
      </c>
      <c r="E68" s="93">
        <f t="shared" si="51"/>
        <v>19325.081623745089</v>
      </c>
      <c r="F68" s="93">
        <f t="shared" si="51"/>
        <v>17039.442164993452</v>
      </c>
      <c r="G68" s="93">
        <f t="shared" si="51"/>
        <v>14753.802706241815</v>
      </c>
      <c r="H68" s="81"/>
      <c r="I68" s="81" t="s">
        <v>161</v>
      </c>
      <c r="J68" s="81">
        <v>225</v>
      </c>
      <c r="K68" s="81">
        <v>155</v>
      </c>
      <c r="L68" s="81">
        <v>70</v>
      </c>
      <c r="M68" s="81">
        <f>J68/5</f>
        <v>45</v>
      </c>
      <c r="N68" s="81">
        <f t="shared" si="49"/>
        <v>31</v>
      </c>
      <c r="O68" s="81">
        <f t="shared" si="49"/>
        <v>14</v>
      </c>
      <c r="Q68" s="169" t="s">
        <v>137</v>
      </c>
      <c r="R68" s="47">
        <f t="shared" si="50"/>
        <v>11.690732570458549</v>
      </c>
      <c r="S68" s="47">
        <f t="shared" si="50"/>
        <v>10.670153559506252</v>
      </c>
      <c r="T68" s="47">
        <f t="shared" si="50"/>
        <v>9.6495745485539555</v>
      </c>
      <c r="U68" s="47">
        <f t="shared" si="50"/>
        <v>8.6289955376016589</v>
      </c>
      <c r="V68" s="47">
        <f t="shared" si="50"/>
        <v>7.6084165266493651</v>
      </c>
      <c r="W68" s="47">
        <f t="shared" si="50"/>
        <v>6.5878375156970694</v>
      </c>
      <c r="Y68" s="2" t="s">
        <v>38</v>
      </c>
      <c r="Z68" s="96">
        <v>31947</v>
      </c>
      <c r="AA68" s="96">
        <v>30915</v>
      </c>
      <c r="AB68" s="96">
        <v>30766</v>
      </c>
      <c r="AC68" s="96">
        <v>29700</v>
      </c>
      <c r="AD68" s="96">
        <v>28604</v>
      </c>
      <c r="AE68" s="96">
        <v>27499</v>
      </c>
      <c r="AF68" s="145">
        <v>26182</v>
      </c>
    </row>
    <row r="69" spans="1:33" x14ac:dyDescent="0.25">
      <c r="A69" s="2" t="s">
        <v>39</v>
      </c>
      <c r="B69" s="25">
        <v>807</v>
      </c>
      <c r="C69" s="97">
        <f t="shared" si="51"/>
        <v>736.55041466608463</v>
      </c>
      <c r="D69" s="93">
        <f t="shared" si="51"/>
        <v>666.10082933216927</v>
      </c>
      <c r="E69" s="93">
        <f t="shared" si="51"/>
        <v>595.6512439982539</v>
      </c>
      <c r="F69" s="93">
        <f t="shared" si="51"/>
        <v>525.20165866433865</v>
      </c>
      <c r="G69" s="93">
        <f t="shared" si="51"/>
        <v>454.75207333042334</v>
      </c>
      <c r="H69" s="81"/>
      <c r="I69" s="81" t="s">
        <v>162</v>
      </c>
      <c r="J69" s="81">
        <v>119</v>
      </c>
      <c r="K69" s="81">
        <v>82</v>
      </c>
      <c r="L69" s="81">
        <v>37</v>
      </c>
      <c r="M69" s="81" t="s">
        <v>203</v>
      </c>
      <c r="N69" s="81">
        <f>K69/5</f>
        <v>16.399999999999999</v>
      </c>
      <c r="O69" s="81">
        <f>L69/5</f>
        <v>7.4</v>
      </c>
      <c r="Q69" s="162" t="s">
        <v>138</v>
      </c>
      <c r="R69" s="47">
        <f t="shared" ref="R69:W70" si="52">B70*$J$14</f>
        <v>0</v>
      </c>
      <c r="S69" s="47">
        <f t="shared" si="52"/>
        <v>0</v>
      </c>
      <c r="T69" s="47">
        <f t="shared" si="52"/>
        <v>0</v>
      </c>
      <c r="U69" s="47">
        <f t="shared" si="52"/>
        <v>0</v>
      </c>
      <c r="V69" s="47">
        <f t="shared" si="52"/>
        <v>0</v>
      </c>
      <c r="W69" s="47">
        <f t="shared" si="52"/>
        <v>0</v>
      </c>
      <c r="Y69" s="2" t="s">
        <v>39</v>
      </c>
      <c r="Z69" s="96">
        <v>2666</v>
      </c>
      <c r="AA69" s="96">
        <v>2579</v>
      </c>
      <c r="AB69" s="96">
        <v>2983</v>
      </c>
      <c r="AC69" s="96">
        <v>2436</v>
      </c>
      <c r="AD69" s="96">
        <v>2134</v>
      </c>
      <c r="AE69" s="96">
        <v>1485</v>
      </c>
      <c r="AF69" s="145">
        <v>807</v>
      </c>
    </row>
    <row r="70" spans="1:33" x14ac:dyDescent="0.25">
      <c r="A70" s="2" t="s">
        <v>40</v>
      </c>
      <c r="B70" s="25">
        <v>0</v>
      </c>
      <c r="C70" s="97">
        <v>0</v>
      </c>
      <c r="D70" s="93"/>
      <c r="E70" s="93"/>
      <c r="F70" s="93"/>
      <c r="G70" s="93"/>
      <c r="H70" s="81"/>
      <c r="I70" s="81" t="s">
        <v>203</v>
      </c>
      <c r="J70" s="81"/>
      <c r="K70" s="81"/>
      <c r="L70" s="81"/>
      <c r="M70" s="81"/>
      <c r="N70" s="81"/>
      <c r="O70" s="81"/>
      <c r="Q70" s="169" t="s">
        <v>139</v>
      </c>
      <c r="R70" s="47">
        <f t="shared" si="52"/>
        <v>53.854162369145072</v>
      </c>
      <c r="S70" s="47">
        <f t="shared" si="52"/>
        <v>53.854162369145072</v>
      </c>
      <c r="T70" s="47">
        <f t="shared" si="52"/>
        <v>53.854162369145072</v>
      </c>
      <c r="U70" s="47">
        <f t="shared" si="52"/>
        <v>53.854162369145072</v>
      </c>
      <c r="V70" s="47">
        <f t="shared" si="52"/>
        <v>53.854162369145072</v>
      </c>
      <c r="W70" s="47">
        <f t="shared" si="52"/>
        <v>53.854162369145072</v>
      </c>
      <c r="Y70" s="81" t="s">
        <v>40</v>
      </c>
      <c r="Z70" s="96">
        <v>0</v>
      </c>
      <c r="AA70" s="96">
        <v>0</v>
      </c>
      <c r="AB70" s="96">
        <v>0</v>
      </c>
      <c r="AC70" s="96">
        <v>0</v>
      </c>
      <c r="AD70" s="96">
        <v>0</v>
      </c>
      <c r="AE70" s="96">
        <v>0</v>
      </c>
      <c r="AF70" s="145">
        <v>0</v>
      </c>
    </row>
    <row r="71" spans="1:33" x14ac:dyDescent="0.25">
      <c r="A71" s="2" t="s">
        <v>41</v>
      </c>
      <c r="B71" s="25">
        <v>41578</v>
      </c>
      <c r="C71" s="97">
        <f>B71</f>
        <v>41578</v>
      </c>
      <c r="D71" s="93">
        <f t="shared" ref="D71:G71" si="53">C71</f>
        <v>41578</v>
      </c>
      <c r="E71" s="93">
        <f t="shared" si="53"/>
        <v>41578</v>
      </c>
      <c r="F71" s="93">
        <f t="shared" si="53"/>
        <v>41578</v>
      </c>
      <c r="G71" s="93">
        <f t="shared" si="53"/>
        <v>41578</v>
      </c>
      <c r="H71" s="81"/>
      <c r="Q71" s="162" t="s">
        <v>140</v>
      </c>
      <c r="R71" s="47">
        <f t="shared" ref="R71:W71" si="54">B72*$J$15</f>
        <v>56.533716356238806</v>
      </c>
      <c r="S71" s="47">
        <f t="shared" si="54"/>
        <v>57.164901957670565</v>
      </c>
      <c r="T71" s="47">
        <f t="shared" si="54"/>
        <v>57.796087559102318</v>
      </c>
      <c r="U71" s="47">
        <f t="shared" si="54"/>
        <v>58.427273160534078</v>
      </c>
      <c r="V71" s="47">
        <f t="shared" si="54"/>
        <v>59.058458761965831</v>
      </c>
      <c r="W71" s="47">
        <f t="shared" si="54"/>
        <v>59.689644363397591</v>
      </c>
      <c r="Y71" s="2" t="s">
        <v>41</v>
      </c>
      <c r="Z71" s="96">
        <v>44653</v>
      </c>
      <c r="AA71" s="96">
        <v>43995</v>
      </c>
      <c r="AB71" s="96">
        <v>43484</v>
      </c>
      <c r="AC71" s="96">
        <v>42870</v>
      </c>
      <c r="AD71" s="96">
        <v>42576</v>
      </c>
      <c r="AE71" s="96">
        <v>42147</v>
      </c>
      <c r="AF71" s="145">
        <v>41578</v>
      </c>
    </row>
    <row r="72" spans="1:33" x14ac:dyDescent="0.25">
      <c r="A72" s="2" t="s">
        <v>42</v>
      </c>
      <c r="B72" s="25">
        <v>214962</v>
      </c>
      <c r="C72" s="97">
        <f>B72+J61+J75</f>
        <v>217362</v>
      </c>
      <c r="D72" s="93">
        <f>C72+K61+K75</f>
        <v>219762</v>
      </c>
      <c r="E72" s="93">
        <f>D72+L61+L75</f>
        <v>222162</v>
      </c>
      <c r="F72" s="93">
        <f>E72+M61+M75</f>
        <v>224562</v>
      </c>
      <c r="G72" s="93">
        <f>F72+N61+N75</f>
        <v>226962</v>
      </c>
      <c r="H72" s="81"/>
      <c r="I72" s="143" t="s">
        <v>144</v>
      </c>
      <c r="J72" s="81"/>
      <c r="K72" s="81"/>
      <c r="L72" s="81"/>
      <c r="M72" s="81"/>
      <c r="N72" s="81"/>
      <c r="O72" s="81"/>
      <c r="Q72" s="169" t="s">
        <v>142</v>
      </c>
      <c r="R72" s="47">
        <f t="shared" ref="R72:W73" si="55">B73*$J$13</f>
        <v>0</v>
      </c>
      <c r="S72" s="47">
        <f t="shared" si="55"/>
        <v>0</v>
      </c>
      <c r="T72" s="47">
        <f t="shared" si="55"/>
        <v>0</v>
      </c>
      <c r="U72" s="47">
        <f t="shared" si="55"/>
        <v>0</v>
      </c>
      <c r="V72" s="47">
        <f t="shared" si="55"/>
        <v>0</v>
      </c>
      <c r="W72" s="47">
        <f t="shared" si="55"/>
        <v>0</v>
      </c>
      <c r="Y72" s="2" t="s">
        <v>42</v>
      </c>
      <c r="Z72" s="96">
        <v>194072</v>
      </c>
      <c r="AA72" s="96">
        <v>198937</v>
      </c>
      <c r="AB72" s="96">
        <v>202309</v>
      </c>
      <c r="AC72" s="96">
        <v>205746</v>
      </c>
      <c r="AD72" s="96">
        <v>208489</v>
      </c>
      <c r="AE72" s="96">
        <v>211714</v>
      </c>
      <c r="AF72" s="145">
        <v>214962</v>
      </c>
    </row>
    <row r="73" spans="1:33" x14ac:dyDescent="0.25">
      <c r="A73" s="2" t="s">
        <v>43</v>
      </c>
      <c r="B73" s="25">
        <v>0</v>
      </c>
      <c r="C73" s="97">
        <v>0</v>
      </c>
      <c r="D73" s="93">
        <v>0</v>
      </c>
      <c r="E73" s="93">
        <v>0</v>
      </c>
      <c r="F73" s="93">
        <v>0</v>
      </c>
      <c r="G73" s="93">
        <v>0</v>
      </c>
      <c r="H73" s="81"/>
      <c r="I73" s="186" t="s">
        <v>110</v>
      </c>
      <c r="J73" s="135" t="s">
        <v>69</v>
      </c>
      <c r="K73" s="135" t="s">
        <v>70</v>
      </c>
      <c r="L73" s="135" t="s">
        <v>71</v>
      </c>
      <c r="M73" s="135" t="s">
        <v>72</v>
      </c>
      <c r="N73" s="187" t="s">
        <v>73</v>
      </c>
      <c r="O73" s="81"/>
      <c r="Q73" s="162" t="s">
        <v>143</v>
      </c>
      <c r="R73" s="47">
        <f t="shared" si="55"/>
        <v>0</v>
      </c>
      <c r="S73" s="47">
        <f t="shared" si="55"/>
        <v>0</v>
      </c>
      <c r="T73" s="47">
        <f t="shared" si="55"/>
        <v>0</v>
      </c>
      <c r="U73" s="47">
        <f t="shared" si="55"/>
        <v>0</v>
      </c>
      <c r="V73" s="47">
        <f t="shared" si="55"/>
        <v>0</v>
      </c>
      <c r="W73" s="47">
        <f t="shared" si="55"/>
        <v>0</v>
      </c>
      <c r="Y73" s="2" t="s">
        <v>43</v>
      </c>
      <c r="Z73" s="96">
        <v>0</v>
      </c>
      <c r="AA73" s="96">
        <v>0</v>
      </c>
      <c r="AB73" s="96">
        <v>0</v>
      </c>
      <c r="AC73" s="96">
        <v>0</v>
      </c>
      <c r="AD73" s="96">
        <v>0</v>
      </c>
      <c r="AE73" s="96">
        <v>0</v>
      </c>
      <c r="AF73" s="145">
        <v>0</v>
      </c>
    </row>
    <row r="74" spans="1:33" x14ac:dyDescent="0.25">
      <c r="A74" s="2" t="s">
        <v>44</v>
      </c>
      <c r="B74" s="25">
        <v>0</v>
      </c>
      <c r="C74" s="97">
        <v>0</v>
      </c>
      <c r="D74" s="93">
        <v>0</v>
      </c>
      <c r="E74" s="93">
        <v>0</v>
      </c>
      <c r="F74" s="93">
        <v>0</v>
      </c>
      <c r="G74" s="93">
        <v>0</v>
      </c>
      <c r="H74" s="81"/>
      <c r="I74" s="81" t="s">
        <v>147</v>
      </c>
      <c r="J74" s="157">
        <v>0</v>
      </c>
      <c r="K74" s="157">
        <v>0</v>
      </c>
      <c r="L74" s="157">
        <v>0</v>
      </c>
      <c r="M74" s="157">
        <v>0</v>
      </c>
      <c r="N74" s="157">
        <v>0</v>
      </c>
      <c r="O74" s="81"/>
      <c r="Q74" s="169" t="s">
        <v>145</v>
      </c>
      <c r="R74" s="47">
        <f t="shared" ref="R74:W74" si="56">B75*$J$16</f>
        <v>2.4638525836858927</v>
      </c>
      <c r="S74" s="47">
        <f t="shared" si="56"/>
        <v>2.248762877558796</v>
      </c>
      <c r="T74" s="47">
        <f t="shared" si="56"/>
        <v>2.0336731714316989</v>
      </c>
      <c r="U74" s="47">
        <f t="shared" si="56"/>
        <v>1.8185834653046025</v>
      </c>
      <c r="V74" s="47">
        <f t="shared" si="56"/>
        <v>1.6034937591775058</v>
      </c>
      <c r="W74" s="47">
        <f t="shared" si="56"/>
        <v>1.3884040530504089</v>
      </c>
      <c r="Y74" s="2" t="s">
        <v>44</v>
      </c>
      <c r="Z74" s="96">
        <v>0</v>
      </c>
      <c r="AA74" s="96">
        <v>0</v>
      </c>
      <c r="AB74" s="96">
        <v>0</v>
      </c>
      <c r="AC74" s="96">
        <v>0</v>
      </c>
      <c r="AD74" s="96">
        <v>0</v>
      </c>
      <c r="AE74" s="96">
        <v>0</v>
      </c>
      <c r="AF74" s="145">
        <v>0</v>
      </c>
    </row>
    <row r="75" spans="1:33" x14ac:dyDescent="0.25">
      <c r="A75" s="2" t="s">
        <v>45</v>
      </c>
      <c r="B75" s="25">
        <v>503</v>
      </c>
      <c r="C75" s="97">
        <f>B75-J$61*B75/(B$68+B$69+B$75)</f>
        <v>459.08904408555213</v>
      </c>
      <c r="D75" s="93">
        <f>C75-K$61*C75/(C$68+C$69+C$75)</f>
        <v>415.17808817110426</v>
      </c>
      <c r="E75" s="93">
        <f>D75-L$61*D75/(D$68+D$69+D$75)</f>
        <v>371.26713225665645</v>
      </c>
      <c r="F75" s="93">
        <f>E75-M$61*E75/(E$68+E$69+E$75)</f>
        <v>327.35617634220864</v>
      </c>
      <c r="G75" s="93">
        <f>F75-N$61*F75/(F$68+F$69+F$75)</f>
        <v>283.44522042776077</v>
      </c>
      <c r="H75" s="81"/>
      <c r="I75" s="81" t="s">
        <v>28</v>
      </c>
      <c r="J75" s="157">
        <v>0</v>
      </c>
      <c r="K75" s="157">
        <v>0</v>
      </c>
      <c r="L75" s="157">
        <v>0</v>
      </c>
      <c r="M75" s="157">
        <v>0</v>
      </c>
      <c r="N75" s="157">
        <v>0</v>
      </c>
      <c r="O75" s="81"/>
      <c r="Q75" s="162" t="s">
        <v>146</v>
      </c>
      <c r="R75" s="47">
        <f t="shared" ref="R75:W75" si="57">B76*$J$13</f>
        <v>0</v>
      </c>
      <c r="S75" s="47">
        <f t="shared" si="57"/>
        <v>0</v>
      </c>
      <c r="T75" s="47">
        <f t="shared" si="57"/>
        <v>0</v>
      </c>
      <c r="U75" s="47">
        <f t="shared" si="57"/>
        <v>0</v>
      </c>
      <c r="V75" s="47">
        <f t="shared" si="57"/>
        <v>0</v>
      </c>
      <c r="W75" s="47">
        <f t="shared" si="57"/>
        <v>0</v>
      </c>
      <c r="Y75" s="2" t="s">
        <v>45</v>
      </c>
      <c r="Z75" s="96">
        <v>509</v>
      </c>
      <c r="AA75" s="96">
        <f>Z75</f>
        <v>509</v>
      </c>
      <c r="AB75" s="96">
        <v>509</v>
      </c>
      <c r="AC75" s="96">
        <v>509</v>
      </c>
      <c r="AD75" s="96">
        <v>506</v>
      </c>
      <c r="AE75" s="96">
        <v>506</v>
      </c>
      <c r="AF75" s="145">
        <v>503</v>
      </c>
    </row>
    <row r="76" spans="1:33" x14ac:dyDescent="0.25">
      <c r="A76" s="2" t="s">
        <v>46</v>
      </c>
      <c r="B76" s="25">
        <v>0</v>
      </c>
      <c r="C76" s="97">
        <v>0</v>
      </c>
      <c r="D76" s="93"/>
      <c r="E76" s="93"/>
      <c r="F76" s="93"/>
      <c r="G76" s="93"/>
      <c r="H76" s="81"/>
      <c r="I76" s="81" t="s">
        <v>203</v>
      </c>
      <c r="J76" s="157"/>
      <c r="K76" s="157"/>
      <c r="L76" s="157"/>
      <c r="M76" s="157"/>
      <c r="N76" s="157"/>
      <c r="O76" s="81"/>
      <c r="Q76" s="169" t="s">
        <v>148</v>
      </c>
      <c r="R76" s="98">
        <f t="shared" ref="R76" si="58">SUM(R67:R75)</f>
        <v>503.83212950498768</v>
      </c>
      <c r="S76" s="98">
        <f t="shared" ref="S76:W76" si="59">SUM(S67:S75)</f>
        <v>470.1163704726697</v>
      </c>
      <c r="T76" s="98">
        <f t="shared" si="59"/>
        <v>436.40061144035167</v>
      </c>
      <c r="U76" s="98">
        <f t="shared" si="59"/>
        <v>402.68485240803358</v>
      </c>
      <c r="V76" s="98">
        <f t="shared" si="59"/>
        <v>368.9690933757156</v>
      </c>
      <c r="W76" s="98">
        <f t="shared" si="59"/>
        <v>335.25333434339751</v>
      </c>
      <c r="Y76" s="2" t="s">
        <v>46</v>
      </c>
      <c r="Z76" s="96">
        <v>0</v>
      </c>
      <c r="AA76" s="96">
        <v>0</v>
      </c>
      <c r="AB76" s="96">
        <v>0</v>
      </c>
      <c r="AC76" s="96">
        <v>0</v>
      </c>
      <c r="AD76" s="96">
        <v>0</v>
      </c>
      <c r="AE76" s="96">
        <v>0</v>
      </c>
      <c r="AF76" s="145">
        <v>0</v>
      </c>
    </row>
    <row r="77" spans="1:33" x14ac:dyDescent="0.25">
      <c r="A77" s="2" t="s">
        <v>50</v>
      </c>
      <c r="B77" s="25">
        <f t="shared" ref="B77:C77" si="60">SUM(B68:B76)</f>
        <v>284032</v>
      </c>
      <c r="C77" s="97">
        <f t="shared" si="60"/>
        <v>284031.99999999994</v>
      </c>
      <c r="D77" s="93">
        <f t="shared" ref="D77:G77" si="61">SUM(D68:D76)</f>
        <v>284032</v>
      </c>
      <c r="E77" s="93">
        <f t="shared" si="61"/>
        <v>284032</v>
      </c>
      <c r="F77" s="93">
        <f t="shared" si="61"/>
        <v>284032</v>
      </c>
      <c r="G77" s="93">
        <f t="shared" si="61"/>
        <v>284032</v>
      </c>
      <c r="H77" s="81"/>
      <c r="Q77" s="166" t="s">
        <v>141</v>
      </c>
      <c r="R77" s="167">
        <f t="shared" ref="R77:W77" si="62">R66+R76</f>
        <v>1260.5382123294678</v>
      </c>
      <c r="S77" s="167">
        <f t="shared" si="62"/>
        <v>1183.3352339433991</v>
      </c>
      <c r="T77" s="167">
        <f t="shared" si="62"/>
        <v>1106.1322555573302</v>
      </c>
      <c r="U77" s="167">
        <f t="shared" si="62"/>
        <v>1025.7807695683616</v>
      </c>
      <c r="V77" s="167">
        <f t="shared" si="62"/>
        <v>945.42928357939331</v>
      </c>
      <c r="W77" s="168">
        <f t="shared" si="62"/>
        <v>865.07779759042478</v>
      </c>
      <c r="Y77" s="2" t="s">
        <v>50</v>
      </c>
      <c r="Z77" s="96">
        <f>SUM(Z68:Z76)</f>
        <v>273847</v>
      </c>
      <c r="AA77" s="96">
        <f>SUM(AA68:AA76)</f>
        <v>276935</v>
      </c>
      <c r="AB77" s="96">
        <f>SUM(AB68:AB76)</f>
        <v>280051</v>
      </c>
      <c r="AC77" s="96">
        <f t="shared" ref="AC77:AE77" si="63">SUM(AC68:AC76)</f>
        <v>281261</v>
      </c>
      <c r="AD77" s="96">
        <f t="shared" si="63"/>
        <v>282309</v>
      </c>
      <c r="AE77" s="96">
        <f t="shared" si="63"/>
        <v>283351</v>
      </c>
      <c r="AF77" s="96">
        <f t="shared" ref="AF77" si="64">SUM(AF68:AF76)</f>
        <v>284032</v>
      </c>
    </row>
    <row r="78" spans="1:33" x14ac:dyDescent="0.25">
      <c r="A78" s="2" t="s">
        <v>203</v>
      </c>
      <c r="B78" s="25"/>
      <c r="C78" s="97"/>
      <c r="D78" s="93"/>
      <c r="E78" s="93"/>
      <c r="F78" s="93"/>
      <c r="G78" s="93"/>
      <c r="H78" s="81"/>
      <c r="Q78" s="2" t="s">
        <v>203</v>
      </c>
      <c r="R78" s="210"/>
      <c r="S78" s="210"/>
      <c r="T78" s="210"/>
      <c r="U78" s="210"/>
      <c r="V78" s="210"/>
      <c r="W78" s="210"/>
      <c r="Y78" s="2" t="s">
        <v>203</v>
      </c>
      <c r="Z78" s="212"/>
      <c r="AA78" s="212"/>
      <c r="AB78" s="212"/>
      <c r="AC78" s="212"/>
      <c r="AD78" s="212"/>
      <c r="AE78" s="212"/>
      <c r="AF78" s="211"/>
    </row>
    <row r="79" spans="1:33" x14ac:dyDescent="0.25">
      <c r="Y79" s="150"/>
    </row>
    <row r="80" spans="1:33" x14ac:dyDescent="0.25">
      <c r="Y80" s="150"/>
    </row>
    <row r="81" spans="1:33" x14ac:dyDescent="0.25">
      <c r="A81" s="18" t="s">
        <v>163</v>
      </c>
      <c r="B81" s="129"/>
      <c r="I81" s="18" t="s">
        <v>163</v>
      </c>
      <c r="N81" s="81"/>
      <c r="Q81" s="18" t="s">
        <v>163</v>
      </c>
      <c r="Y81" s="18" t="s">
        <v>163</v>
      </c>
      <c r="Z81" s="19"/>
      <c r="AA81" s="19"/>
      <c r="AB81" s="19"/>
      <c r="AC81" s="19"/>
      <c r="AD81" s="19"/>
      <c r="AE81" s="19"/>
      <c r="AF81" s="19"/>
    </row>
    <row r="82" spans="1:33" x14ac:dyDescent="0.25">
      <c r="A82" s="135" t="s">
        <v>34</v>
      </c>
      <c r="B82" s="136" t="s">
        <v>94</v>
      </c>
      <c r="C82" s="135" t="s">
        <v>95</v>
      </c>
      <c r="D82" s="135" t="s">
        <v>96</v>
      </c>
      <c r="E82" s="135" t="s">
        <v>97</v>
      </c>
      <c r="F82" s="135" t="s">
        <v>98</v>
      </c>
      <c r="G82" s="135" t="s">
        <v>99</v>
      </c>
      <c r="H82" s="81"/>
      <c r="I82" s="143" t="s">
        <v>164</v>
      </c>
      <c r="J82" s="81"/>
      <c r="K82" s="81"/>
      <c r="L82" s="81"/>
      <c r="M82" s="81"/>
      <c r="N82" s="81"/>
      <c r="Q82" s="135" t="s">
        <v>101</v>
      </c>
      <c r="R82" s="164" t="s">
        <v>102</v>
      </c>
      <c r="S82" s="164" t="s">
        <v>69</v>
      </c>
      <c r="T82" s="164" t="s">
        <v>70</v>
      </c>
      <c r="U82" s="164" t="s">
        <v>71</v>
      </c>
      <c r="V82" s="164" t="s">
        <v>72</v>
      </c>
      <c r="W82" s="165" t="s">
        <v>73</v>
      </c>
      <c r="Y82" s="130" t="s">
        <v>34</v>
      </c>
      <c r="Z82" s="158" t="s">
        <v>103</v>
      </c>
      <c r="AA82" s="158" t="s">
        <v>104</v>
      </c>
      <c r="AB82" s="158" t="s">
        <v>105</v>
      </c>
      <c r="AC82" s="158" t="s">
        <v>106</v>
      </c>
      <c r="AD82" s="158" t="s">
        <v>107</v>
      </c>
      <c r="AE82" s="158" t="s">
        <v>108</v>
      </c>
      <c r="AF82" s="159" t="s">
        <v>109</v>
      </c>
    </row>
    <row r="83" spans="1:33" x14ac:dyDescent="0.25">
      <c r="A83" s="2" t="s">
        <v>38</v>
      </c>
      <c r="B83" s="89">
        <v>9.7799999999999994</v>
      </c>
      <c r="C83" s="99">
        <f t="shared" ref="C83:E84" si="65">B83-J85</f>
        <v>5.7499999999999991</v>
      </c>
      <c r="D83" s="90">
        <f t="shared" si="65"/>
        <v>4.9399999999999995</v>
      </c>
      <c r="E83" s="90">
        <f t="shared" si="65"/>
        <v>3.9799999999999995</v>
      </c>
      <c r="F83" s="204" t="s">
        <v>52</v>
      </c>
      <c r="G83" s="204" t="s">
        <v>52</v>
      </c>
      <c r="H83" s="100"/>
      <c r="I83" s="186" t="s">
        <v>110</v>
      </c>
      <c r="J83" s="135" t="s">
        <v>69</v>
      </c>
      <c r="K83" s="135" t="s">
        <v>70</v>
      </c>
      <c r="L83" s="135" t="s">
        <v>71</v>
      </c>
      <c r="M83" s="135" t="s">
        <v>72</v>
      </c>
      <c r="N83" s="187" t="s">
        <v>73</v>
      </c>
      <c r="O83" s="79"/>
      <c r="Q83" s="162" t="s">
        <v>111</v>
      </c>
      <c r="R83" s="47">
        <f t="shared" ref="R83:U84" si="66">B83*$J$9</f>
        <v>8.4237548369731758</v>
      </c>
      <c r="S83" s="47">
        <f t="shared" si="66"/>
        <v>4.9526165963799338</v>
      </c>
      <c r="T83" s="47">
        <f t="shared" si="66"/>
        <v>4.2549436497594568</v>
      </c>
      <c r="U83" s="47">
        <f t="shared" si="66"/>
        <v>3.4280720093203718</v>
      </c>
      <c r="V83" s="170" t="s">
        <v>52</v>
      </c>
      <c r="W83" s="171" t="s">
        <v>52</v>
      </c>
      <c r="Y83" s="2" t="s">
        <v>38</v>
      </c>
      <c r="Z83" s="152">
        <v>13.8</v>
      </c>
      <c r="AA83" s="152">
        <v>12.69</v>
      </c>
      <c r="AB83" s="152">
        <v>12.23</v>
      </c>
      <c r="AC83" s="146">
        <v>11.69</v>
      </c>
      <c r="AD83" s="96">
        <v>11.440000000000001</v>
      </c>
      <c r="AE83" s="146">
        <v>10.41</v>
      </c>
      <c r="AF83" s="146">
        <v>9.7799999999999994</v>
      </c>
    </row>
    <row r="84" spans="1:33" x14ac:dyDescent="0.25">
      <c r="A84" s="2" t="s">
        <v>39</v>
      </c>
      <c r="B84" s="89">
        <v>15.83</v>
      </c>
      <c r="C84" s="99">
        <f t="shared" si="65"/>
        <v>13.91</v>
      </c>
      <c r="D84" s="90">
        <f t="shared" si="65"/>
        <v>12.42</v>
      </c>
      <c r="E84" s="90">
        <f t="shared" si="65"/>
        <v>10.92</v>
      </c>
      <c r="F84" s="204" t="s">
        <v>52</v>
      </c>
      <c r="G84" s="204" t="s">
        <v>52</v>
      </c>
      <c r="H84" s="100"/>
      <c r="I84" s="81" t="s">
        <v>165</v>
      </c>
      <c r="J84" s="155">
        <v>6.98</v>
      </c>
      <c r="K84" s="155">
        <v>5.4</v>
      </c>
      <c r="L84" s="155">
        <v>5.2</v>
      </c>
      <c r="M84" s="188" t="s">
        <v>52</v>
      </c>
      <c r="N84" s="188" t="s">
        <v>52</v>
      </c>
      <c r="O84" s="20"/>
      <c r="Q84" s="163" t="s">
        <v>113</v>
      </c>
      <c r="R84" s="47">
        <f t="shared" si="66"/>
        <v>13.634768820990326</v>
      </c>
      <c r="S84" s="47">
        <f t="shared" si="66"/>
        <v>11.981025540112155</v>
      </c>
      <c r="T84" s="47">
        <f t="shared" si="66"/>
        <v>10.697651848180659</v>
      </c>
      <c r="U84" s="47">
        <f t="shared" si="66"/>
        <v>9.4056649099945897</v>
      </c>
      <c r="V84" s="172" t="s">
        <v>52</v>
      </c>
      <c r="W84" s="173" t="s">
        <v>52</v>
      </c>
      <c r="Y84" s="2" t="s">
        <v>39</v>
      </c>
      <c r="Z84" s="152">
        <v>18.11</v>
      </c>
      <c r="AA84" s="152">
        <v>18.05</v>
      </c>
      <c r="AB84" s="152">
        <v>17.760000000000002</v>
      </c>
      <c r="AC84" s="146">
        <v>17.61</v>
      </c>
      <c r="AD84" s="96">
        <v>17.809999999999999</v>
      </c>
      <c r="AE84" s="146">
        <v>17.12</v>
      </c>
      <c r="AF84" s="146">
        <v>15.83</v>
      </c>
    </row>
    <row r="85" spans="1:33" x14ac:dyDescent="0.25">
      <c r="A85" s="2" t="s">
        <v>40</v>
      </c>
      <c r="B85" s="89">
        <v>0</v>
      </c>
      <c r="C85" s="99">
        <f>B85</f>
        <v>0</v>
      </c>
      <c r="D85" s="90">
        <f>C85</f>
        <v>0</v>
      </c>
      <c r="E85" s="90">
        <f t="shared" ref="E85" si="67">D85</f>
        <v>0</v>
      </c>
      <c r="F85" s="204" t="s">
        <v>52</v>
      </c>
      <c r="G85" s="204" t="s">
        <v>52</v>
      </c>
      <c r="H85" s="100"/>
      <c r="I85" s="81" t="s">
        <v>166</v>
      </c>
      <c r="J85" s="155">
        <v>4.03</v>
      </c>
      <c r="K85" s="155">
        <v>0.81</v>
      </c>
      <c r="L85" s="189">
        <v>0.96</v>
      </c>
      <c r="M85" s="188" t="s">
        <v>52</v>
      </c>
      <c r="N85" s="188" t="s">
        <v>52</v>
      </c>
      <c r="O85" s="20"/>
      <c r="Q85" s="162" t="s">
        <v>115</v>
      </c>
      <c r="R85" s="47">
        <f t="shared" ref="R85:U86" si="68">B85*$J$10</f>
        <v>0</v>
      </c>
      <c r="S85" s="47">
        <f t="shared" si="68"/>
        <v>0</v>
      </c>
      <c r="T85" s="47">
        <f t="shared" si="68"/>
        <v>0</v>
      </c>
      <c r="U85" s="47">
        <f t="shared" si="68"/>
        <v>0</v>
      </c>
      <c r="V85" s="170" t="s">
        <v>52</v>
      </c>
      <c r="W85" s="171" t="s">
        <v>52</v>
      </c>
      <c r="Y85" s="81" t="s">
        <v>40</v>
      </c>
      <c r="Z85" s="152">
        <v>0</v>
      </c>
      <c r="AA85" s="152">
        <v>0</v>
      </c>
      <c r="AB85" s="152">
        <v>0</v>
      </c>
      <c r="AC85" s="146">
        <v>0</v>
      </c>
      <c r="AD85" s="96">
        <v>0</v>
      </c>
      <c r="AE85" s="146">
        <v>0</v>
      </c>
      <c r="AF85" s="146">
        <v>0</v>
      </c>
    </row>
    <row r="86" spans="1:33" x14ac:dyDescent="0.25">
      <c r="A86" s="2" t="s">
        <v>41</v>
      </c>
      <c r="B86" s="89">
        <v>356.74</v>
      </c>
      <c r="C86" s="99">
        <f>B86</f>
        <v>356.74</v>
      </c>
      <c r="D86" s="90">
        <f>C86</f>
        <v>356.74</v>
      </c>
      <c r="E86" s="90">
        <f>D86</f>
        <v>356.74</v>
      </c>
      <c r="F86" s="204" t="s">
        <v>52</v>
      </c>
      <c r="G86" s="204" t="s">
        <v>52</v>
      </c>
      <c r="H86" s="100"/>
      <c r="I86" s="81" t="s">
        <v>167</v>
      </c>
      <c r="J86" s="155">
        <v>1.92</v>
      </c>
      <c r="K86" s="155">
        <v>1.49</v>
      </c>
      <c r="L86" s="189">
        <v>1.5</v>
      </c>
      <c r="M86" s="188" t="s">
        <v>52</v>
      </c>
      <c r="N86" s="188" t="s">
        <v>52</v>
      </c>
      <c r="O86" s="20"/>
      <c r="Q86" s="163" t="s">
        <v>117</v>
      </c>
      <c r="R86" s="47">
        <f t="shared" si="68"/>
        <v>34.514209234136828</v>
      </c>
      <c r="S86" s="47">
        <f t="shared" si="68"/>
        <v>34.514209234136828</v>
      </c>
      <c r="T86" s="47">
        <f t="shared" si="68"/>
        <v>34.514209234136828</v>
      </c>
      <c r="U86" s="47">
        <f t="shared" si="68"/>
        <v>34.514209234136828</v>
      </c>
      <c r="V86" s="172" t="s">
        <v>52</v>
      </c>
      <c r="W86" s="173" t="s">
        <v>52</v>
      </c>
      <c r="Y86" s="2" t="s">
        <v>41</v>
      </c>
      <c r="Z86" s="152">
        <v>362.97</v>
      </c>
      <c r="AA86" s="152">
        <v>362.69</v>
      </c>
      <c r="AB86" s="152">
        <v>361.9</v>
      </c>
      <c r="AC86" s="146">
        <v>359.38</v>
      </c>
      <c r="AD86" s="96">
        <v>360.02</v>
      </c>
      <c r="AE86" s="146">
        <v>357.81</v>
      </c>
      <c r="AF86" s="146">
        <v>356.74</v>
      </c>
    </row>
    <row r="87" spans="1:33" x14ac:dyDescent="0.25">
      <c r="A87" s="2" t="s">
        <v>42</v>
      </c>
      <c r="B87" s="89">
        <v>356.65</v>
      </c>
      <c r="C87" s="99">
        <f>B87+J84+J85+J86</f>
        <v>369.58</v>
      </c>
      <c r="D87" s="90">
        <f>C87+K84+K85+K86</f>
        <v>377.28</v>
      </c>
      <c r="E87" s="90">
        <f>D87+L84+L85+L86</f>
        <v>384.93999999999994</v>
      </c>
      <c r="F87" s="204" t="s">
        <v>52</v>
      </c>
      <c r="G87" s="204" t="s">
        <v>52</v>
      </c>
      <c r="I87" s="81" t="s">
        <v>168</v>
      </c>
      <c r="J87" s="157">
        <v>420</v>
      </c>
      <c r="K87" s="157">
        <v>217</v>
      </c>
      <c r="L87" s="190">
        <v>224</v>
      </c>
      <c r="M87" s="188" t="s">
        <v>52</v>
      </c>
      <c r="N87" s="188" t="s">
        <v>52</v>
      </c>
      <c r="O87" s="20"/>
      <c r="Q87" s="162" t="s">
        <v>119</v>
      </c>
      <c r="R87" s="47">
        <f t="shared" ref="R87:U87" si="69">B87*$J$11</f>
        <v>10.288409636308359</v>
      </c>
      <c r="S87" s="47">
        <f t="shared" si="69"/>
        <v>10.661405953699266</v>
      </c>
      <c r="T87" s="47">
        <f t="shared" si="69"/>
        <v>10.883530597466471</v>
      </c>
      <c r="U87" s="47">
        <f t="shared" si="69"/>
        <v>11.104501346980342</v>
      </c>
      <c r="V87" s="170" t="s">
        <v>52</v>
      </c>
      <c r="W87" s="171" t="s">
        <v>52</v>
      </c>
      <c r="Y87" s="2" t="s">
        <v>42</v>
      </c>
      <c r="Z87" s="152">
        <v>315.57</v>
      </c>
      <c r="AA87" s="152">
        <v>324.17</v>
      </c>
      <c r="AB87" s="152">
        <v>333.09000000000003</v>
      </c>
      <c r="AC87" s="146">
        <v>334.58</v>
      </c>
      <c r="AD87" s="96">
        <v>340.72999999999996</v>
      </c>
      <c r="AE87" s="146">
        <v>349.77</v>
      </c>
      <c r="AF87" s="146">
        <v>356.65</v>
      </c>
    </row>
    <row r="88" spans="1:33" x14ac:dyDescent="0.25">
      <c r="A88" s="2" t="s">
        <v>43</v>
      </c>
      <c r="B88" s="89">
        <v>26.84</v>
      </c>
      <c r="C88" s="99">
        <f>B88-J$84</f>
        <v>19.86</v>
      </c>
      <c r="D88" s="90">
        <f>C88-K84</f>
        <v>14.459999999999999</v>
      </c>
      <c r="E88" s="90">
        <f>D88-L84</f>
        <v>9.259999999999998</v>
      </c>
      <c r="F88" s="204" t="s">
        <v>52</v>
      </c>
      <c r="G88" s="204" t="s">
        <v>52</v>
      </c>
      <c r="H88" s="100"/>
      <c r="I88" s="81" t="s">
        <v>203</v>
      </c>
      <c r="J88" s="155"/>
      <c r="K88" s="155"/>
      <c r="L88" s="191"/>
      <c r="M88" s="188"/>
      <c r="N88" s="188"/>
      <c r="O88" s="20"/>
      <c r="Q88" s="163" t="s">
        <v>122</v>
      </c>
      <c r="R88" s="47">
        <f t="shared" ref="R88:U90" si="70">B88*$J$8</f>
        <v>31.061077652713436</v>
      </c>
      <c r="S88" s="47">
        <f t="shared" si="70"/>
        <v>22.983345833937733</v>
      </c>
      <c r="T88" s="47">
        <f t="shared" si="70"/>
        <v>16.734097721990917</v>
      </c>
      <c r="U88" s="47">
        <f t="shared" si="70"/>
        <v>10.716303243819908</v>
      </c>
      <c r="V88" s="172" t="s">
        <v>52</v>
      </c>
      <c r="W88" s="173" t="s">
        <v>52</v>
      </c>
      <c r="Y88" s="2" t="s">
        <v>43</v>
      </c>
      <c r="Z88" s="152">
        <v>50.43</v>
      </c>
      <c r="AA88" s="152">
        <v>46.13</v>
      </c>
      <c r="AB88" s="152">
        <v>44.62</v>
      </c>
      <c r="AC88" s="146">
        <v>41.41</v>
      </c>
      <c r="AD88" s="96">
        <v>36.379999999999988</v>
      </c>
      <c r="AE88" s="146">
        <v>31.12</v>
      </c>
      <c r="AF88" s="146">
        <v>26.84</v>
      </c>
    </row>
    <row r="89" spans="1:33" x14ac:dyDescent="0.25">
      <c r="A89" s="2" t="s">
        <v>44</v>
      </c>
      <c r="B89" s="89">
        <v>0</v>
      </c>
      <c r="C89" s="99">
        <v>0</v>
      </c>
      <c r="D89" s="90">
        <v>0</v>
      </c>
      <c r="E89" s="90">
        <v>0</v>
      </c>
      <c r="F89" s="204" t="s">
        <v>52</v>
      </c>
      <c r="G89" s="204" t="s">
        <v>52</v>
      </c>
      <c r="H89" s="20"/>
      <c r="I89" s="101" t="s">
        <v>169</v>
      </c>
      <c r="J89" s="101"/>
      <c r="K89" s="81"/>
      <c r="L89" s="81"/>
      <c r="M89" s="81"/>
      <c r="O89" s="20"/>
      <c r="Q89" s="162" t="s">
        <v>124</v>
      </c>
      <c r="R89" s="47">
        <f t="shared" si="70"/>
        <v>0</v>
      </c>
      <c r="S89" s="47">
        <f t="shared" si="70"/>
        <v>0</v>
      </c>
      <c r="T89" s="47">
        <f t="shared" si="70"/>
        <v>0</v>
      </c>
      <c r="U89" s="47">
        <f t="shared" si="70"/>
        <v>0</v>
      </c>
      <c r="V89" s="170" t="s">
        <v>52</v>
      </c>
      <c r="W89" s="171" t="s">
        <v>52</v>
      </c>
      <c r="Y89" s="2" t="s">
        <v>44</v>
      </c>
      <c r="Z89" s="152">
        <v>0</v>
      </c>
      <c r="AA89" s="152">
        <v>0</v>
      </c>
      <c r="AB89" s="152">
        <v>0</v>
      </c>
      <c r="AC89" s="146">
        <v>0</v>
      </c>
      <c r="AD89" s="96">
        <v>0</v>
      </c>
      <c r="AE89" s="146">
        <v>0</v>
      </c>
      <c r="AF89" s="146">
        <v>0</v>
      </c>
    </row>
    <row r="90" spans="1:33" x14ac:dyDescent="0.25">
      <c r="A90" s="2" t="s">
        <v>45</v>
      </c>
      <c r="B90" s="89">
        <v>0</v>
      </c>
      <c r="C90" s="99">
        <v>0</v>
      </c>
      <c r="D90" s="90">
        <v>0</v>
      </c>
      <c r="E90" s="90">
        <v>0</v>
      </c>
      <c r="F90" s="204" t="s">
        <v>52</v>
      </c>
      <c r="G90" s="204" t="s">
        <v>52</v>
      </c>
      <c r="H90" s="20"/>
      <c r="I90" s="81"/>
      <c r="J90" s="81"/>
      <c r="K90" s="81"/>
      <c r="L90" s="81"/>
      <c r="M90" s="81"/>
      <c r="O90" s="20"/>
      <c r="Q90" s="163" t="s">
        <v>125</v>
      </c>
      <c r="R90" s="47">
        <f t="shared" si="70"/>
        <v>0</v>
      </c>
      <c r="S90" s="47">
        <f t="shared" si="70"/>
        <v>0</v>
      </c>
      <c r="T90" s="47">
        <f t="shared" si="70"/>
        <v>0</v>
      </c>
      <c r="U90" s="47">
        <f t="shared" si="70"/>
        <v>0</v>
      </c>
      <c r="V90" s="172" t="s">
        <v>52</v>
      </c>
      <c r="W90" s="173" t="s">
        <v>52</v>
      </c>
      <c r="Y90" s="2" t="s">
        <v>45</v>
      </c>
      <c r="Z90" s="152">
        <v>0</v>
      </c>
      <c r="AA90" s="152">
        <v>0</v>
      </c>
      <c r="AB90" s="152">
        <v>0</v>
      </c>
      <c r="AC90" s="146">
        <v>0</v>
      </c>
      <c r="AD90" s="96">
        <v>0</v>
      </c>
      <c r="AE90" s="146">
        <v>0</v>
      </c>
      <c r="AF90" s="146">
        <v>0</v>
      </c>
    </row>
    <row r="91" spans="1:33" x14ac:dyDescent="0.25">
      <c r="A91" s="2" t="s">
        <v>46</v>
      </c>
      <c r="B91" s="89">
        <v>0</v>
      </c>
      <c r="C91" s="99">
        <v>0</v>
      </c>
      <c r="D91" s="90">
        <v>0</v>
      </c>
      <c r="E91" s="90">
        <v>0</v>
      </c>
      <c r="F91" s="204" t="s">
        <v>52</v>
      </c>
      <c r="G91" s="204" t="s">
        <v>52</v>
      </c>
      <c r="I91" s="143" t="s">
        <v>144</v>
      </c>
      <c r="J91" s="178"/>
      <c r="K91" s="178"/>
      <c r="L91" s="178"/>
      <c r="M91" s="178"/>
      <c r="O91" s="20"/>
      <c r="Q91" s="162" t="s">
        <v>127</v>
      </c>
      <c r="R91" s="47">
        <f t="shared" ref="R91:U91" si="71">B91*$J$9</f>
        <v>0</v>
      </c>
      <c r="S91" s="47">
        <f t="shared" si="71"/>
        <v>0</v>
      </c>
      <c r="T91" s="47">
        <f t="shared" si="71"/>
        <v>0</v>
      </c>
      <c r="U91" s="47">
        <f t="shared" si="71"/>
        <v>0</v>
      </c>
      <c r="V91" s="170" t="s">
        <v>52</v>
      </c>
      <c r="W91" s="171" t="s">
        <v>52</v>
      </c>
      <c r="Y91" s="2" t="s">
        <v>46</v>
      </c>
      <c r="Z91" s="152">
        <v>0</v>
      </c>
      <c r="AA91" s="152">
        <v>0</v>
      </c>
      <c r="AB91" s="152">
        <v>0</v>
      </c>
      <c r="AC91" s="146">
        <v>0</v>
      </c>
      <c r="AD91" s="96">
        <v>0</v>
      </c>
      <c r="AE91" s="146">
        <v>0</v>
      </c>
      <c r="AF91" s="146">
        <v>0</v>
      </c>
    </row>
    <row r="92" spans="1:33" x14ac:dyDescent="0.25">
      <c r="A92" s="2" t="s">
        <v>47</v>
      </c>
      <c r="B92" s="89">
        <f>SUM(B83:B91)</f>
        <v>765.84</v>
      </c>
      <c r="C92" s="99">
        <f t="shared" ref="C92:E92" si="72">SUM(C83:C91)</f>
        <v>765.84</v>
      </c>
      <c r="D92" s="90">
        <f t="shared" si="72"/>
        <v>765.84</v>
      </c>
      <c r="E92" s="90">
        <f t="shared" si="72"/>
        <v>765.83999999999992</v>
      </c>
      <c r="F92" s="204" t="s">
        <v>52</v>
      </c>
      <c r="G92" s="204" t="s">
        <v>52</v>
      </c>
      <c r="H92" s="20"/>
      <c r="I92" s="186" t="s">
        <v>110</v>
      </c>
      <c r="J92" s="135" t="s">
        <v>69</v>
      </c>
      <c r="K92" s="135" t="s">
        <v>70</v>
      </c>
      <c r="L92" s="135" t="s">
        <v>71</v>
      </c>
      <c r="M92" s="135" t="s">
        <v>72</v>
      </c>
      <c r="N92" s="187" t="s">
        <v>73</v>
      </c>
      <c r="O92" s="20"/>
      <c r="Q92" s="163" t="s">
        <v>133</v>
      </c>
      <c r="R92" s="47">
        <f t="shared" ref="R92:U92" si="73">SUM(R83:R91)</f>
        <v>97.922220181122128</v>
      </c>
      <c r="S92" s="47">
        <f t="shared" si="73"/>
        <v>85.092603158265916</v>
      </c>
      <c r="T92" s="47">
        <f t="shared" si="73"/>
        <v>77.084433051534333</v>
      </c>
      <c r="U92" s="47">
        <f t="shared" si="73"/>
        <v>69.168750744252037</v>
      </c>
      <c r="V92" s="172" t="s">
        <v>52</v>
      </c>
      <c r="W92" s="173" t="s">
        <v>52</v>
      </c>
      <c r="Y92" s="2" t="s">
        <v>47</v>
      </c>
      <c r="Z92" s="152">
        <f>SUM(Z83:Z91)</f>
        <v>760.88</v>
      </c>
      <c r="AA92" s="153">
        <f>SUM(AA83:AA91)</f>
        <v>763.73</v>
      </c>
      <c r="AB92" s="153">
        <f>SUM(AB83:AB91)</f>
        <v>769.6</v>
      </c>
      <c r="AC92" s="153">
        <f>SUM(AC83:AC91)</f>
        <v>764.67</v>
      </c>
      <c r="AD92" s="153">
        <f t="shared" ref="AD92" si="74">SUM(AD83:AD91)</f>
        <v>766.38</v>
      </c>
      <c r="AE92" s="153">
        <f>SUM(AE83:AE91)</f>
        <v>766.23</v>
      </c>
      <c r="AF92" s="153">
        <f>SUM(AF83:AF91)</f>
        <v>765.84</v>
      </c>
    </row>
    <row r="93" spans="1:33" x14ac:dyDescent="0.25">
      <c r="A93" s="135" t="s">
        <v>48</v>
      </c>
      <c r="B93" s="136" t="s">
        <v>94</v>
      </c>
      <c r="C93" s="135" t="s">
        <v>95</v>
      </c>
      <c r="D93" s="135" t="s">
        <v>96</v>
      </c>
      <c r="E93" s="135" t="s">
        <v>97</v>
      </c>
      <c r="F93" s="135" t="s">
        <v>98</v>
      </c>
      <c r="G93" s="135" t="s">
        <v>99</v>
      </c>
      <c r="H93" s="20"/>
      <c r="I93" s="81" t="s">
        <v>147</v>
      </c>
      <c r="J93" s="157">
        <v>0</v>
      </c>
      <c r="K93" s="157">
        <v>0</v>
      </c>
      <c r="L93" s="157">
        <v>0</v>
      </c>
      <c r="M93" s="157">
        <v>0</v>
      </c>
      <c r="N93" s="157">
        <v>0</v>
      </c>
      <c r="O93" s="20"/>
      <c r="Q93" s="163" t="s">
        <v>135</v>
      </c>
      <c r="R93" s="47">
        <f t="shared" ref="R93:U94" si="75">B94*$J$13</f>
        <v>12.415065443473329</v>
      </c>
      <c r="S93" s="47">
        <f t="shared" si="75"/>
        <v>9.2317153297622188</v>
      </c>
      <c r="T93" s="47">
        <f t="shared" si="75"/>
        <v>7.5869844376781463</v>
      </c>
      <c r="U93" s="47">
        <f t="shared" si="75"/>
        <v>5.8891977103655542</v>
      </c>
      <c r="V93" s="170" t="s">
        <v>52</v>
      </c>
      <c r="W93" s="171" t="s">
        <v>52</v>
      </c>
      <c r="Y93" s="130" t="s">
        <v>48</v>
      </c>
      <c r="Z93" s="158" t="s">
        <v>103</v>
      </c>
      <c r="AA93" s="158" t="s">
        <v>104</v>
      </c>
      <c r="AB93" s="158" t="s">
        <v>105</v>
      </c>
      <c r="AC93" s="158" t="s">
        <v>106</v>
      </c>
      <c r="AD93" s="158" t="s">
        <v>107</v>
      </c>
      <c r="AE93" s="158" t="s">
        <v>108</v>
      </c>
      <c r="AF93" s="159" t="s">
        <v>109</v>
      </c>
      <c r="AG93" s="152"/>
    </row>
    <row r="94" spans="1:33" x14ac:dyDescent="0.25">
      <c r="A94" s="2" t="s">
        <v>38</v>
      </c>
      <c r="B94" s="25">
        <v>857</v>
      </c>
      <c r="C94" s="102">
        <f t="shared" ref="C94:E95" si="76">B94-J$87*B94/(B$94+B$95+B$99+B$101)</f>
        <v>637.25641025641028</v>
      </c>
      <c r="D94" s="50">
        <f t="shared" si="76"/>
        <v>523.72222222222229</v>
      </c>
      <c r="E94" s="50">
        <f t="shared" si="76"/>
        <v>406.52564102564105</v>
      </c>
      <c r="F94" s="204" t="s">
        <v>52</v>
      </c>
      <c r="G94" s="204" t="s">
        <v>52</v>
      </c>
      <c r="H94" s="20"/>
      <c r="I94" s="81" t="s">
        <v>28</v>
      </c>
      <c r="J94" s="157">
        <v>0</v>
      </c>
      <c r="K94" s="157">
        <v>0</v>
      </c>
      <c r="L94" s="157">
        <v>0</v>
      </c>
      <c r="M94" s="157">
        <v>0</v>
      </c>
      <c r="N94" s="157">
        <v>0</v>
      </c>
      <c r="O94" s="20"/>
      <c r="Q94" s="169" t="s">
        <v>137</v>
      </c>
      <c r="R94" s="47">
        <f t="shared" si="75"/>
        <v>9.5756805812553925</v>
      </c>
      <c r="S94" s="47">
        <f t="shared" si="75"/>
        <v>7.1203778681129846</v>
      </c>
      <c r="T94" s="47">
        <f t="shared" si="75"/>
        <v>5.8518047996560734</v>
      </c>
      <c r="U94" s="47">
        <f t="shared" si="75"/>
        <v>4.5423100193134553</v>
      </c>
      <c r="V94" s="172" t="s">
        <v>52</v>
      </c>
      <c r="W94" s="173" t="s">
        <v>52</v>
      </c>
      <c r="Y94" s="2" t="s">
        <v>38</v>
      </c>
      <c r="Z94" s="154">
        <v>1768</v>
      </c>
      <c r="AA94" s="154">
        <v>1544</v>
      </c>
      <c r="AB94" s="154">
        <v>1423</v>
      </c>
      <c r="AC94" s="145">
        <v>1324</v>
      </c>
      <c r="AD94" s="145">
        <v>1185</v>
      </c>
      <c r="AE94" s="145">
        <v>972</v>
      </c>
      <c r="AF94" s="145">
        <v>857</v>
      </c>
    </row>
    <row r="95" spans="1:33" x14ac:dyDescent="0.25">
      <c r="A95" s="2" t="s">
        <v>39</v>
      </c>
      <c r="B95" s="25">
        <v>661</v>
      </c>
      <c r="C95" s="102">
        <f t="shared" si="76"/>
        <v>491.51282051282055</v>
      </c>
      <c r="D95" s="50">
        <f t="shared" si="76"/>
        <v>403.94444444444451</v>
      </c>
      <c r="E95" s="50">
        <f t="shared" si="76"/>
        <v>313.5512820512821</v>
      </c>
      <c r="F95" s="204" t="s">
        <v>52</v>
      </c>
      <c r="G95" s="204" t="s">
        <v>52</v>
      </c>
      <c r="H95" s="20"/>
      <c r="I95" s="81" t="s">
        <v>203</v>
      </c>
      <c r="J95" s="157"/>
      <c r="K95" s="157"/>
      <c r="L95" s="157"/>
      <c r="M95" s="157"/>
      <c r="N95" s="157"/>
      <c r="O95" s="20"/>
      <c r="Q95" s="163" t="s">
        <v>138</v>
      </c>
      <c r="R95" s="47">
        <f t="shared" ref="R95:U96" si="77">B96*$J$14</f>
        <v>0</v>
      </c>
      <c r="S95" s="47">
        <f t="shared" si="77"/>
        <v>0</v>
      </c>
      <c r="T95" s="47">
        <f t="shared" si="77"/>
        <v>0</v>
      </c>
      <c r="U95" s="47">
        <f t="shared" si="77"/>
        <v>0</v>
      </c>
      <c r="V95" s="170" t="s">
        <v>52</v>
      </c>
      <c r="W95" s="171" t="s">
        <v>52</v>
      </c>
      <c r="Y95" s="2" t="s">
        <v>39</v>
      </c>
      <c r="Z95" s="154">
        <v>843</v>
      </c>
      <c r="AA95" s="154">
        <v>815</v>
      </c>
      <c r="AB95" s="154">
        <v>795</v>
      </c>
      <c r="AC95" s="145">
        <v>771</v>
      </c>
      <c r="AD95" s="145">
        <v>744</v>
      </c>
      <c r="AE95" s="145">
        <v>713</v>
      </c>
      <c r="AF95" s="145">
        <v>661</v>
      </c>
    </row>
    <row r="96" spans="1:33" x14ac:dyDescent="0.25">
      <c r="A96" s="2" t="s">
        <v>40</v>
      </c>
      <c r="B96" s="25">
        <v>0</v>
      </c>
      <c r="C96" s="102">
        <f t="shared" ref="C96:C97" si="78">B96</f>
        <v>0</v>
      </c>
      <c r="D96" s="50">
        <f t="shared" ref="D96:D97" si="79">C96</f>
        <v>0</v>
      </c>
      <c r="E96" s="50">
        <f t="shared" ref="E96:E97" si="80">D96</f>
        <v>0</v>
      </c>
      <c r="F96" s="204" t="s">
        <v>52</v>
      </c>
      <c r="G96" s="204" t="s">
        <v>52</v>
      </c>
      <c r="H96" s="20"/>
      <c r="J96" s="20"/>
      <c r="K96" s="20"/>
      <c r="L96" s="20"/>
      <c r="M96" s="181"/>
      <c r="N96" s="20"/>
      <c r="O96" s="20"/>
      <c r="Q96" s="169" t="s">
        <v>139</v>
      </c>
      <c r="R96" s="47">
        <f t="shared" si="77"/>
        <v>8.0953512628591255</v>
      </c>
      <c r="S96" s="47">
        <f t="shared" si="77"/>
        <v>8.0953512628591255</v>
      </c>
      <c r="T96" s="47">
        <f t="shared" si="77"/>
        <v>8.0953512628591255</v>
      </c>
      <c r="U96" s="47">
        <f t="shared" si="77"/>
        <v>8.0953512628591255</v>
      </c>
      <c r="V96" s="172" t="s">
        <v>52</v>
      </c>
      <c r="W96" s="173" t="s">
        <v>52</v>
      </c>
      <c r="Y96" s="81" t="s">
        <v>40</v>
      </c>
      <c r="Z96" s="154">
        <v>0</v>
      </c>
      <c r="AA96" s="154">
        <v>0</v>
      </c>
      <c r="AB96" s="154">
        <v>0</v>
      </c>
      <c r="AC96" s="145">
        <v>0</v>
      </c>
      <c r="AD96" s="145">
        <v>0</v>
      </c>
      <c r="AE96" s="145">
        <v>0</v>
      </c>
      <c r="AF96" s="145">
        <v>0</v>
      </c>
    </row>
    <row r="97" spans="1:32" x14ac:dyDescent="0.25">
      <c r="A97" s="2" t="s">
        <v>41</v>
      </c>
      <c r="B97" s="25">
        <v>6250</v>
      </c>
      <c r="C97" s="102">
        <f t="shared" si="78"/>
        <v>6250</v>
      </c>
      <c r="D97" s="50">
        <f t="shared" si="79"/>
        <v>6250</v>
      </c>
      <c r="E97" s="50">
        <f t="shared" si="80"/>
        <v>6250</v>
      </c>
      <c r="F97" s="204" t="s">
        <v>52</v>
      </c>
      <c r="G97" s="204" t="s">
        <v>52</v>
      </c>
      <c r="H97" s="20"/>
      <c r="J97" s="20"/>
      <c r="K97" s="20"/>
      <c r="L97" s="20"/>
      <c r="M97" s="20"/>
      <c r="N97" s="20"/>
      <c r="O97" s="20"/>
      <c r="Q97" s="163" t="s">
        <v>140</v>
      </c>
      <c r="R97" s="47">
        <f>B98*$J$15</f>
        <v>6.5798469009254603</v>
      </c>
      <c r="S97" s="47">
        <f>C98*$J$15</f>
        <v>6.6903043811760172</v>
      </c>
      <c r="T97" s="47">
        <f>D98*$J$15</f>
        <v>6.7473740793054722</v>
      </c>
      <c r="U97" s="47">
        <f>E98*$J$15</f>
        <v>6.8062847354391023</v>
      </c>
      <c r="V97" s="170" t="s">
        <v>52</v>
      </c>
      <c r="W97" s="171" t="s">
        <v>52</v>
      </c>
      <c r="Y97" s="2" t="s">
        <v>41</v>
      </c>
      <c r="Z97" s="154">
        <v>6981</v>
      </c>
      <c r="AA97" s="154">
        <v>6844</v>
      </c>
      <c r="AB97" s="154">
        <v>6810</v>
      </c>
      <c r="AC97" s="145">
        <v>6722</v>
      </c>
      <c r="AD97" s="145">
        <v>6617</v>
      </c>
      <c r="AE97" s="145">
        <v>6441</v>
      </c>
      <c r="AF97" s="145">
        <v>6250</v>
      </c>
    </row>
    <row r="98" spans="1:32" x14ac:dyDescent="0.25">
      <c r="A98" s="2" t="s">
        <v>42</v>
      </c>
      <c r="B98" s="25">
        <v>25019</v>
      </c>
      <c r="C98" s="102">
        <f>B98+J87+J94</f>
        <v>25439</v>
      </c>
      <c r="D98" s="50">
        <f>C98+K87+K94</f>
        <v>25656</v>
      </c>
      <c r="E98" s="50">
        <f>D98+L87+L94</f>
        <v>25880</v>
      </c>
      <c r="F98" s="204" t="s">
        <v>52</v>
      </c>
      <c r="G98" s="204" t="s">
        <v>52</v>
      </c>
      <c r="H98" s="20"/>
      <c r="J98" s="20"/>
      <c r="K98" s="20"/>
      <c r="L98" s="20"/>
      <c r="M98" s="20"/>
      <c r="N98" s="20"/>
      <c r="O98" s="20"/>
      <c r="Q98" s="169" t="s">
        <v>142</v>
      </c>
      <c r="R98" s="47">
        <f t="shared" ref="R98:U99" si="81">B99*$J$13</f>
        <v>1.44866574602956E-2</v>
      </c>
      <c r="S98" s="47">
        <f t="shared" si="81"/>
        <v>1.0772129906373652E-2</v>
      </c>
      <c r="T98" s="47">
        <f t="shared" si="81"/>
        <v>8.852957336847312E-3</v>
      </c>
      <c r="U98" s="47">
        <f t="shared" si="81"/>
        <v>6.8718759747556056E-3</v>
      </c>
      <c r="V98" s="172" t="s">
        <v>52</v>
      </c>
      <c r="W98" s="173" t="s">
        <v>52</v>
      </c>
      <c r="Y98" s="2" t="s">
        <v>42</v>
      </c>
      <c r="Z98" s="154">
        <v>22420</v>
      </c>
      <c r="AA98" s="154">
        <v>23000</v>
      </c>
      <c r="AB98" s="154">
        <v>23464</v>
      </c>
      <c r="AC98" s="145">
        <v>23750</v>
      </c>
      <c r="AD98" s="145">
        <v>24161</v>
      </c>
      <c r="AE98" s="145">
        <v>24531</v>
      </c>
      <c r="AF98" s="145">
        <v>25019</v>
      </c>
    </row>
    <row r="99" spans="1:32" x14ac:dyDescent="0.25">
      <c r="A99" s="2" t="s">
        <v>43</v>
      </c>
      <c r="B99" s="25">
        <v>1</v>
      </c>
      <c r="C99" s="102">
        <f>B99-J$87*B99/(B$94+B$95+B$99+B$101)</f>
        <v>0.74358974358974361</v>
      </c>
      <c r="D99" s="50">
        <f>C99-K$87*C99/(C$94+C$95+C$99+C$101)</f>
        <v>0.61111111111111116</v>
      </c>
      <c r="E99" s="50">
        <f>D99-L$87*D99/(D$94+D$95+D$99+D$101)</f>
        <v>0.47435897435897439</v>
      </c>
      <c r="F99" s="204" t="s">
        <v>52</v>
      </c>
      <c r="G99" s="204" t="s">
        <v>52</v>
      </c>
      <c r="H99" s="20"/>
      <c r="I99" s="101"/>
      <c r="J99" s="20"/>
      <c r="K99" s="20"/>
      <c r="L99" s="20"/>
      <c r="M99" s="20"/>
      <c r="N99" s="20"/>
      <c r="O99" s="20"/>
      <c r="Q99" s="163" t="s">
        <v>143</v>
      </c>
      <c r="R99" s="47">
        <f t="shared" si="81"/>
        <v>0</v>
      </c>
      <c r="S99" s="47">
        <f t="shared" si="81"/>
        <v>0</v>
      </c>
      <c r="T99" s="47">
        <f t="shared" si="81"/>
        <v>0</v>
      </c>
      <c r="U99" s="47">
        <f t="shared" si="81"/>
        <v>0</v>
      </c>
      <c r="V99" s="170" t="s">
        <v>52</v>
      </c>
      <c r="W99" s="171" t="s">
        <v>52</v>
      </c>
      <c r="Y99" s="2" t="s">
        <v>43</v>
      </c>
      <c r="Z99" s="154">
        <v>1</v>
      </c>
      <c r="AA99" s="154">
        <v>1</v>
      </c>
      <c r="AB99" s="154">
        <v>1</v>
      </c>
      <c r="AC99" s="145">
        <v>1</v>
      </c>
      <c r="AD99" s="145">
        <v>1</v>
      </c>
      <c r="AE99" s="145">
        <v>1</v>
      </c>
      <c r="AF99" s="145">
        <v>1</v>
      </c>
    </row>
    <row r="100" spans="1:32" x14ac:dyDescent="0.25">
      <c r="A100" s="2" t="s">
        <v>44</v>
      </c>
      <c r="B100" s="25">
        <v>0</v>
      </c>
      <c r="C100" s="102">
        <f>B100</f>
        <v>0</v>
      </c>
      <c r="D100" s="50">
        <f t="shared" ref="D100:E100" si="82">C100</f>
        <v>0</v>
      </c>
      <c r="E100" s="50">
        <f t="shared" si="82"/>
        <v>0</v>
      </c>
      <c r="F100" s="204" t="s">
        <v>52</v>
      </c>
      <c r="G100" s="204" t="s">
        <v>52</v>
      </c>
      <c r="H100" s="20"/>
      <c r="I100" s="81"/>
      <c r="J100" s="20"/>
      <c r="K100" s="20"/>
      <c r="L100" s="20"/>
      <c r="M100" s="20"/>
      <c r="N100" s="20"/>
      <c r="O100" s="20"/>
      <c r="Q100" s="169" t="s">
        <v>145</v>
      </c>
      <c r="R100" s="47">
        <f>B101*$J$16</f>
        <v>0.58289951781038019</v>
      </c>
      <c r="S100" s="47">
        <f>C101*$J$16</f>
        <v>0.43343810298720575</v>
      </c>
      <c r="T100" s="47">
        <f>D101*$J$16</f>
        <v>0.35621637199523237</v>
      </c>
      <c r="U100" s="47">
        <f>E101*$J$16</f>
        <v>0.27650361742287266</v>
      </c>
      <c r="V100" s="172" t="s">
        <v>52</v>
      </c>
      <c r="W100" s="173" t="s">
        <v>52</v>
      </c>
      <c r="Y100" s="2" t="s">
        <v>44</v>
      </c>
      <c r="Z100" s="154">
        <v>0</v>
      </c>
      <c r="AA100" s="154">
        <v>0</v>
      </c>
      <c r="AB100" s="154">
        <v>0</v>
      </c>
      <c r="AC100" s="145">
        <v>0</v>
      </c>
      <c r="AD100" s="145">
        <v>0</v>
      </c>
      <c r="AE100" s="145">
        <v>0</v>
      </c>
      <c r="AF100" s="145">
        <v>0</v>
      </c>
    </row>
    <row r="101" spans="1:32" x14ac:dyDescent="0.25">
      <c r="A101" s="2" t="s">
        <v>45</v>
      </c>
      <c r="B101" s="25">
        <v>119</v>
      </c>
      <c r="C101" s="97">
        <f>B101-J$87*B101/(B$94+B$95+B$99+B$101)</f>
        <v>88.487179487179489</v>
      </c>
      <c r="D101" s="93">
        <f>C101-K$87*C101/(C$94+C$95+C$99+C$101)</f>
        <v>72.722222222222229</v>
      </c>
      <c r="E101" s="93">
        <f>D101-L$87*D101/(D$94+D$95+D$99+D$101)</f>
        <v>56.448717948717956</v>
      </c>
      <c r="F101" s="204" t="s">
        <v>52</v>
      </c>
      <c r="G101" s="204" t="s">
        <v>52</v>
      </c>
      <c r="H101" s="20"/>
      <c r="I101" s="81"/>
      <c r="J101" s="20"/>
      <c r="K101" s="20"/>
      <c r="L101" s="20"/>
      <c r="M101" s="20"/>
      <c r="N101" s="20"/>
      <c r="O101" s="20"/>
      <c r="Q101" s="163" t="s">
        <v>146</v>
      </c>
      <c r="R101" s="47">
        <f>B102*$J$13</f>
        <v>0</v>
      </c>
      <c r="S101" s="47">
        <f>C102*$J$13</f>
        <v>0</v>
      </c>
      <c r="T101" s="47">
        <f>D102*$J$13</f>
        <v>0</v>
      </c>
      <c r="U101" s="47">
        <f>E102*$J$13</f>
        <v>0</v>
      </c>
      <c r="V101" s="170" t="s">
        <v>52</v>
      </c>
      <c r="W101" s="171" t="s">
        <v>52</v>
      </c>
      <c r="Y101" s="2" t="s">
        <v>45</v>
      </c>
      <c r="Z101" s="154">
        <v>234</v>
      </c>
      <c r="AA101" s="154">
        <v>226</v>
      </c>
      <c r="AB101" s="154">
        <v>220</v>
      </c>
      <c r="AC101" s="145">
        <v>214</v>
      </c>
      <c r="AD101" s="145">
        <v>168</v>
      </c>
      <c r="AE101" s="145">
        <v>126</v>
      </c>
      <c r="AF101" s="145">
        <v>119</v>
      </c>
    </row>
    <row r="102" spans="1:32" x14ac:dyDescent="0.25">
      <c r="A102" s="2" t="s">
        <v>46</v>
      </c>
      <c r="B102" s="25">
        <v>0</v>
      </c>
      <c r="C102" s="102">
        <f>B102</f>
        <v>0</v>
      </c>
      <c r="D102" s="50">
        <f t="shared" ref="D102:E102" si="83">C102</f>
        <v>0</v>
      </c>
      <c r="E102" s="50">
        <f t="shared" si="83"/>
        <v>0</v>
      </c>
      <c r="F102" s="204" t="s">
        <v>52</v>
      </c>
      <c r="G102" s="204" t="s">
        <v>52</v>
      </c>
      <c r="H102" s="20"/>
      <c r="I102" s="81"/>
      <c r="J102" s="20"/>
      <c r="K102" s="20"/>
      <c r="L102" s="20"/>
      <c r="M102" s="20"/>
      <c r="N102" s="20"/>
      <c r="O102" s="20"/>
      <c r="Q102" s="169" t="s">
        <v>148</v>
      </c>
      <c r="R102" s="103">
        <f t="shared" ref="R102" si="84">SUM(R93:R101)</f>
        <v>37.263330363783986</v>
      </c>
      <c r="S102" s="103">
        <f t="shared" ref="S102:U102" si="85">SUM(S93:S101)</f>
        <v>31.581959074803926</v>
      </c>
      <c r="T102" s="103">
        <f t="shared" si="85"/>
        <v>28.646583908830898</v>
      </c>
      <c r="U102" s="103">
        <f t="shared" si="85"/>
        <v>25.616519221374865</v>
      </c>
      <c r="V102" s="172" t="s">
        <v>52</v>
      </c>
      <c r="W102" s="173" t="s">
        <v>52</v>
      </c>
      <c r="Y102" s="2" t="s">
        <v>46</v>
      </c>
      <c r="Z102" s="154">
        <v>0</v>
      </c>
      <c r="AA102" s="154">
        <v>0</v>
      </c>
      <c r="AB102" s="154">
        <v>0</v>
      </c>
      <c r="AC102" s="145">
        <v>0</v>
      </c>
      <c r="AD102" s="145">
        <v>0</v>
      </c>
      <c r="AE102" s="145">
        <v>0</v>
      </c>
      <c r="AF102" s="145">
        <v>0</v>
      </c>
    </row>
    <row r="103" spans="1:32" x14ac:dyDescent="0.25">
      <c r="A103" s="2" t="s">
        <v>50</v>
      </c>
      <c r="B103" s="25">
        <f t="shared" ref="B103:C103" si="86">SUM(B94:B102)</f>
        <v>32907</v>
      </c>
      <c r="C103" s="97">
        <f t="shared" si="86"/>
        <v>32907</v>
      </c>
      <c r="D103" s="93">
        <f t="shared" ref="D103:E103" si="87">SUM(D94:D102)</f>
        <v>32906.999999999993</v>
      </c>
      <c r="E103" s="93">
        <f t="shared" si="87"/>
        <v>32907</v>
      </c>
      <c r="F103" s="204" t="s">
        <v>52</v>
      </c>
      <c r="G103" s="204" t="s">
        <v>52</v>
      </c>
      <c r="H103" s="20"/>
      <c r="J103" s="20"/>
      <c r="K103" s="20"/>
      <c r="L103" s="20"/>
      <c r="M103" s="20"/>
      <c r="N103" s="20"/>
      <c r="O103" s="20"/>
      <c r="Q103" s="166" t="s">
        <v>141</v>
      </c>
      <c r="R103" s="167">
        <f>R92+R102</f>
        <v>135.18555054490611</v>
      </c>
      <c r="S103" s="167">
        <f>S92+S102</f>
        <v>116.67456223306985</v>
      </c>
      <c r="T103" s="167">
        <f>T92+T102</f>
        <v>105.73101696036522</v>
      </c>
      <c r="U103" s="167">
        <f>U92+U102</f>
        <v>94.785269965626895</v>
      </c>
      <c r="V103" s="167" t="s">
        <v>52</v>
      </c>
      <c r="W103" s="168" t="s">
        <v>52</v>
      </c>
      <c r="Y103" s="2" t="s">
        <v>50</v>
      </c>
      <c r="Z103" s="2">
        <f>SUM(Z94:Z102)</f>
        <v>32247</v>
      </c>
      <c r="AA103" s="2">
        <f>SUM(AA94:AA102)</f>
        <v>32430</v>
      </c>
      <c r="AB103" s="2">
        <f>SUM(AB94:AB102)</f>
        <v>32713</v>
      </c>
      <c r="AC103" s="2">
        <f>SUM(AC94:AC102)</f>
        <v>32782</v>
      </c>
      <c r="AD103" s="2">
        <f t="shared" ref="AD103" si="88">SUM(AD94:AD102)</f>
        <v>32876</v>
      </c>
      <c r="AE103" s="147">
        <f>SUM(AE94:AE102)</f>
        <v>32784</v>
      </c>
      <c r="AF103" s="147">
        <f>SUM(AF94:AF102)</f>
        <v>32907</v>
      </c>
    </row>
    <row r="104" spans="1:32" x14ac:dyDescent="0.25">
      <c r="A104" s="2" t="s">
        <v>203</v>
      </c>
      <c r="B104" s="25"/>
      <c r="C104" s="102"/>
      <c r="D104" s="50"/>
      <c r="E104" s="50"/>
      <c r="F104" s="204"/>
      <c r="G104" s="204"/>
      <c r="H104" s="20"/>
      <c r="J104" s="20"/>
      <c r="K104" s="20"/>
      <c r="L104" s="20"/>
      <c r="M104" s="20"/>
      <c r="N104" s="20"/>
      <c r="O104" s="20"/>
      <c r="Q104" s="2" t="s">
        <v>203</v>
      </c>
      <c r="R104" s="210"/>
      <c r="S104" s="210"/>
      <c r="T104" s="210"/>
      <c r="U104" s="210"/>
      <c r="V104" s="154"/>
      <c r="W104" s="154"/>
      <c r="Y104" s="2" t="s">
        <v>203</v>
      </c>
      <c r="Z104" s="154"/>
      <c r="AA104" s="154"/>
      <c r="AB104" s="154"/>
      <c r="AC104" s="211"/>
      <c r="AD104" s="211"/>
      <c r="AE104" s="211"/>
      <c r="AF104" s="211"/>
    </row>
    <row r="105" spans="1:32" x14ac:dyDescent="0.25">
      <c r="I105" s="81"/>
      <c r="Y105" s="150"/>
    </row>
    <row r="106" spans="1:32" x14ac:dyDescent="0.25">
      <c r="I106" s="81"/>
      <c r="Y106" s="150"/>
    </row>
    <row r="107" spans="1:32" x14ac:dyDescent="0.25">
      <c r="A107" s="18" t="s">
        <v>170</v>
      </c>
      <c r="B107" s="129"/>
      <c r="I107" s="18" t="s">
        <v>171</v>
      </c>
      <c r="Q107" s="18" t="s">
        <v>171</v>
      </c>
      <c r="R107" s="18"/>
      <c r="Y107" s="18" t="s">
        <v>171</v>
      </c>
      <c r="Z107" s="19"/>
      <c r="AA107" s="19"/>
      <c r="AB107" s="19"/>
      <c r="AC107" s="19"/>
      <c r="AD107" s="19"/>
      <c r="AE107" s="19"/>
      <c r="AF107" s="19"/>
    </row>
    <row r="108" spans="1:32" x14ac:dyDescent="0.25">
      <c r="A108" s="135" t="s">
        <v>34</v>
      </c>
      <c r="B108" s="136" t="s">
        <v>94</v>
      </c>
      <c r="C108" s="135" t="s">
        <v>95</v>
      </c>
      <c r="D108" s="135" t="s">
        <v>96</v>
      </c>
      <c r="E108" s="135" t="s">
        <v>97</v>
      </c>
      <c r="F108" s="135" t="s">
        <v>98</v>
      </c>
      <c r="G108" s="135" t="s">
        <v>99</v>
      </c>
      <c r="H108" s="81"/>
      <c r="I108" s="143" t="s">
        <v>172</v>
      </c>
      <c r="J108" s="81"/>
      <c r="K108" s="81"/>
      <c r="L108" s="81"/>
      <c r="M108" s="81"/>
      <c r="N108" s="81"/>
      <c r="Q108" s="135" t="s">
        <v>101</v>
      </c>
      <c r="R108" s="164" t="s">
        <v>102</v>
      </c>
      <c r="S108" s="164" t="s">
        <v>69</v>
      </c>
      <c r="T108" s="164" t="s">
        <v>70</v>
      </c>
      <c r="U108" s="164" t="s">
        <v>71</v>
      </c>
      <c r="V108" s="164" t="s">
        <v>72</v>
      </c>
      <c r="W108" s="165" t="s">
        <v>73</v>
      </c>
      <c r="Y108" s="130" t="s">
        <v>34</v>
      </c>
      <c r="Z108" s="158" t="s">
        <v>103</v>
      </c>
      <c r="AA108" s="158" t="s">
        <v>104</v>
      </c>
      <c r="AB108" s="158" t="s">
        <v>105</v>
      </c>
      <c r="AC108" s="158" t="s">
        <v>106</v>
      </c>
      <c r="AD108" s="158" t="s">
        <v>107</v>
      </c>
      <c r="AE108" s="158" t="s">
        <v>108</v>
      </c>
      <c r="AF108" s="159" t="s">
        <v>109</v>
      </c>
    </row>
    <row r="109" spans="1:32" x14ac:dyDescent="0.25">
      <c r="A109" s="2" t="s">
        <v>38</v>
      </c>
      <c r="B109" s="89">
        <v>2.77</v>
      </c>
      <c r="C109" s="99">
        <f>B109-J$113</f>
        <v>2.40466669</v>
      </c>
      <c r="D109" s="90">
        <f>C109-K$113</f>
        <v>1.6149103899999999</v>
      </c>
      <c r="E109" s="90">
        <f>D109-L$113</f>
        <v>1.2885914199999999</v>
      </c>
      <c r="F109" s="90">
        <f>E109-M$113</f>
        <v>0.66038478999999994</v>
      </c>
      <c r="G109" s="90">
        <f>F109-N$113</f>
        <v>0.47743404999999994</v>
      </c>
      <c r="H109" s="91"/>
      <c r="I109" s="186" t="s">
        <v>110</v>
      </c>
      <c r="J109" s="135" t="s">
        <v>69</v>
      </c>
      <c r="K109" s="135" t="s">
        <v>70</v>
      </c>
      <c r="L109" s="135" t="s">
        <v>71</v>
      </c>
      <c r="M109" s="135" t="s">
        <v>72</v>
      </c>
      <c r="N109" s="187" t="s">
        <v>73</v>
      </c>
      <c r="O109" s="20"/>
      <c r="Q109" s="162" t="s">
        <v>111</v>
      </c>
      <c r="R109" s="47">
        <f t="shared" ref="R109:W110" si="89">B109*$J$9</f>
        <v>2.3858692125169427</v>
      </c>
      <c r="S109" s="47">
        <f t="shared" si="89"/>
        <v>2.0711986361140875</v>
      </c>
      <c r="T109" s="47">
        <f t="shared" si="89"/>
        <v>1.3909620868139814</v>
      </c>
      <c r="U109" s="47">
        <f t="shared" si="89"/>
        <v>1.1098955221990934</v>
      </c>
      <c r="V109" s="47">
        <f t="shared" si="89"/>
        <v>0.56880568190450054</v>
      </c>
      <c r="W109" s="47">
        <f t="shared" si="89"/>
        <v>0.41122570429684996</v>
      </c>
      <c r="Y109" s="2" t="s">
        <v>38</v>
      </c>
      <c r="Z109" s="152">
        <v>5.53</v>
      </c>
      <c r="AA109" s="152">
        <v>5.42</v>
      </c>
      <c r="AB109" s="152">
        <v>4.6843371148207043</v>
      </c>
      <c r="AC109" s="153">
        <v>3.794</v>
      </c>
      <c r="AD109" s="146">
        <v>3.3</v>
      </c>
      <c r="AE109" s="96">
        <v>2.9167606287878787</v>
      </c>
      <c r="AF109" s="96">
        <v>2.77</v>
      </c>
    </row>
    <row r="110" spans="1:32" x14ac:dyDescent="0.25">
      <c r="A110" s="2" t="s">
        <v>39</v>
      </c>
      <c r="B110" s="89">
        <v>3.56</v>
      </c>
      <c r="C110" s="99">
        <f>B110-J$114</f>
        <v>3.1537584500000002</v>
      </c>
      <c r="D110" s="90">
        <f>C110-K$114</f>
        <v>2.7094495100000002</v>
      </c>
      <c r="E110" s="90">
        <f>D110-L$114</f>
        <v>2.4768785900000001</v>
      </c>
      <c r="F110" s="90">
        <f>E110-M$114</f>
        <v>7.9373000000027005E-4</v>
      </c>
      <c r="G110" s="90">
        <f>F110-N$114</f>
        <v>-0.10356015999999973</v>
      </c>
      <c r="H110" s="91"/>
      <c r="I110" s="81" t="s">
        <v>165</v>
      </c>
      <c r="J110" s="155">
        <v>4.7205457500000003</v>
      </c>
      <c r="K110" s="155">
        <v>3.8417761499999998</v>
      </c>
      <c r="L110" s="155">
        <v>5.3570855399999999</v>
      </c>
      <c r="M110" s="155">
        <v>3.5476534800000001</v>
      </c>
      <c r="N110" s="155">
        <v>3.2970905099999999</v>
      </c>
      <c r="Q110" s="163" t="s">
        <v>113</v>
      </c>
      <c r="R110" s="47">
        <f t="shared" si="89"/>
        <v>3.0663156666282729</v>
      </c>
      <c r="S110" s="47">
        <f t="shared" si="89"/>
        <v>2.7164098157292975</v>
      </c>
      <c r="T110" s="47">
        <f t="shared" si="89"/>
        <v>2.3337155843964319</v>
      </c>
      <c r="U110" s="47">
        <f t="shared" si="89"/>
        <v>2.1333965238351533</v>
      </c>
      <c r="V110" s="47">
        <f t="shared" si="89"/>
        <v>6.8365919496451879E-4</v>
      </c>
      <c r="W110" s="47">
        <f t="shared" si="89"/>
        <v>-8.9198916024306116E-2</v>
      </c>
      <c r="Y110" s="2" t="s">
        <v>39</v>
      </c>
      <c r="Z110" s="152">
        <v>0</v>
      </c>
      <c r="AA110" s="152">
        <v>0</v>
      </c>
      <c r="AB110" s="152">
        <v>6.659805827091442</v>
      </c>
      <c r="AC110" s="153">
        <v>5.4914000000000005</v>
      </c>
      <c r="AD110" s="146">
        <v>4.66</v>
      </c>
      <c r="AE110" s="96">
        <v>3.6604868181818193</v>
      </c>
      <c r="AF110" s="96">
        <v>3.56</v>
      </c>
    </row>
    <row r="111" spans="1:32" x14ac:dyDescent="0.25">
      <c r="A111" s="2" t="s">
        <v>40</v>
      </c>
      <c r="B111" s="89">
        <v>0</v>
      </c>
      <c r="C111" s="99">
        <f t="shared" ref="C111:C112" si="90">B111</f>
        <v>0</v>
      </c>
      <c r="D111" s="90">
        <f t="shared" ref="D111:D112" si="91">C111</f>
        <v>0</v>
      </c>
      <c r="E111" s="90">
        <f t="shared" ref="E111:E112" si="92">D111</f>
        <v>0</v>
      </c>
      <c r="F111" s="90">
        <f t="shared" ref="F111:F112" si="93">E111</f>
        <v>0</v>
      </c>
      <c r="G111" s="90">
        <f t="shared" ref="G111:G112" si="94">F111</f>
        <v>0</v>
      </c>
      <c r="H111" s="91"/>
      <c r="I111" s="81" t="s">
        <v>173</v>
      </c>
      <c r="J111" s="178">
        <v>0</v>
      </c>
      <c r="K111" s="178">
        <v>0</v>
      </c>
      <c r="L111" s="178">
        <v>0</v>
      </c>
      <c r="M111" s="178">
        <v>0.15113322000000001</v>
      </c>
      <c r="N111" s="178">
        <v>0</v>
      </c>
      <c r="Q111" s="162" t="s">
        <v>115</v>
      </c>
      <c r="R111" s="47">
        <f t="shared" ref="R111:W112" si="95">B111*$J$10</f>
        <v>0</v>
      </c>
      <c r="S111" s="47">
        <f t="shared" si="95"/>
        <v>0</v>
      </c>
      <c r="T111" s="47">
        <f t="shared" si="95"/>
        <v>0</v>
      </c>
      <c r="U111" s="47">
        <f t="shared" si="95"/>
        <v>0</v>
      </c>
      <c r="V111" s="47">
        <f t="shared" si="95"/>
        <v>0</v>
      </c>
      <c r="W111" s="47">
        <f t="shared" si="95"/>
        <v>0</v>
      </c>
      <c r="Y111" s="81" t="s">
        <v>40</v>
      </c>
      <c r="Z111" s="152">
        <v>0.19</v>
      </c>
      <c r="AA111" s="152">
        <v>0.19</v>
      </c>
      <c r="AB111" s="152">
        <v>0.19147057309564394</v>
      </c>
      <c r="AC111" s="153">
        <v>0</v>
      </c>
      <c r="AD111" s="146">
        <v>0</v>
      </c>
      <c r="AE111" s="96">
        <v>0</v>
      </c>
      <c r="AF111" s="96">
        <v>0</v>
      </c>
    </row>
    <row r="112" spans="1:32" x14ac:dyDescent="0.25">
      <c r="A112" s="2" t="s">
        <v>41</v>
      </c>
      <c r="B112" s="89">
        <v>112.66</v>
      </c>
      <c r="C112" s="99">
        <f t="shared" si="90"/>
        <v>112.66</v>
      </c>
      <c r="D112" s="90">
        <f t="shared" si="91"/>
        <v>112.66</v>
      </c>
      <c r="E112" s="90">
        <f t="shared" si="92"/>
        <v>112.66</v>
      </c>
      <c r="F112" s="90">
        <f t="shared" si="93"/>
        <v>112.66</v>
      </c>
      <c r="G112" s="90">
        <f t="shared" si="94"/>
        <v>112.66</v>
      </c>
      <c r="H112" s="91"/>
      <c r="I112" s="81" t="s">
        <v>174</v>
      </c>
      <c r="J112" s="178">
        <v>0</v>
      </c>
      <c r="K112" s="178">
        <v>9.5452560000000006E-2</v>
      </c>
      <c r="L112" s="178">
        <v>0</v>
      </c>
      <c r="M112" s="178">
        <v>0</v>
      </c>
      <c r="N112" s="178">
        <v>0</v>
      </c>
      <c r="Q112" s="163" t="s">
        <v>117</v>
      </c>
      <c r="R112" s="47">
        <f t="shared" si="95"/>
        <v>10.899733173509713</v>
      </c>
      <c r="S112" s="47">
        <f t="shared" si="95"/>
        <v>10.899733173509713</v>
      </c>
      <c r="T112" s="47">
        <f t="shared" si="95"/>
        <v>10.899733173509713</v>
      </c>
      <c r="U112" s="47">
        <f t="shared" si="95"/>
        <v>10.899733173509713</v>
      </c>
      <c r="V112" s="47">
        <f t="shared" si="95"/>
        <v>10.899733173509713</v>
      </c>
      <c r="W112" s="47">
        <f t="shared" si="95"/>
        <v>10.899733173509713</v>
      </c>
      <c r="Y112" s="2" t="s">
        <v>41</v>
      </c>
      <c r="Z112" s="152">
        <v>123.27</v>
      </c>
      <c r="AA112" s="152">
        <v>122.6</v>
      </c>
      <c r="AB112" s="152">
        <v>115.38077061464712</v>
      </c>
      <c r="AC112" s="153">
        <v>114.24199999999999</v>
      </c>
      <c r="AD112" s="146">
        <v>114.28</v>
      </c>
      <c r="AE112" s="96">
        <v>113.32388033712127</v>
      </c>
      <c r="AF112" s="96">
        <v>112.66</v>
      </c>
    </row>
    <row r="113" spans="1:33" x14ac:dyDescent="0.25">
      <c r="A113" s="2" t="s">
        <v>42</v>
      </c>
      <c r="B113" s="89">
        <v>128.22999999999999</v>
      </c>
      <c r="C113" s="99">
        <f>B113+J110+J111+J112+J113+J120+J114</f>
        <v>133.72212061000002</v>
      </c>
      <c r="D113" s="90">
        <f>C113+K110+K111+K112+K113+K120+K114</f>
        <v>138.89341456000002</v>
      </c>
      <c r="E113" s="90">
        <f>D113+L110+L111+L112+L113+L120+L114</f>
        <v>144.80938999</v>
      </c>
      <c r="F113" s="90">
        <f>E113+M110+M111+M112+M113+M120+M114</f>
        <v>151.61246817999998</v>
      </c>
      <c r="G113" s="90">
        <f>F113+N110+N111+N112+N113+N120+N114</f>
        <v>155.19686331999998</v>
      </c>
      <c r="H113" s="91"/>
      <c r="I113" s="81" t="s">
        <v>175</v>
      </c>
      <c r="J113" s="155">
        <v>0.36533331000000002</v>
      </c>
      <c r="K113" s="155">
        <v>0.78975629999999997</v>
      </c>
      <c r="L113" s="155">
        <v>0.32631896999999999</v>
      </c>
      <c r="M113" s="155">
        <v>0.62820662999999999</v>
      </c>
      <c r="N113" s="155">
        <v>0.18295074</v>
      </c>
      <c r="O113" s="20"/>
      <c r="Q113" s="162" t="s">
        <v>119</v>
      </c>
      <c r="R113" s="47">
        <f t="shared" ref="R113:W113" si="96">B113*$J$11</f>
        <v>3.6990965026323304</v>
      </c>
      <c r="S113" s="47">
        <f t="shared" si="96"/>
        <v>3.8575296628950309</v>
      </c>
      <c r="T113" s="47">
        <f t="shared" si="96"/>
        <v>4.0067078221754544</v>
      </c>
      <c r="U113" s="47">
        <f t="shared" si="96"/>
        <v>4.1773680734643239</v>
      </c>
      <c r="V113" s="47">
        <f t="shared" si="96"/>
        <v>4.3736188941752587</v>
      </c>
      <c r="W113" s="47">
        <f t="shared" si="96"/>
        <v>4.4770192180185591</v>
      </c>
      <c r="Y113" s="2" t="s">
        <v>42</v>
      </c>
      <c r="Z113" s="152">
        <v>98.57</v>
      </c>
      <c r="AA113" s="152">
        <v>102.23</v>
      </c>
      <c r="AB113" s="152">
        <v>107.45759524538325</v>
      </c>
      <c r="AC113" s="153">
        <v>112.843</v>
      </c>
      <c r="AD113" s="146">
        <v>117.85</v>
      </c>
      <c r="AE113" s="96">
        <v>123.33559254166667</v>
      </c>
      <c r="AF113" s="96">
        <v>128.22999999999999</v>
      </c>
    </row>
    <row r="114" spans="1:33" x14ac:dyDescent="0.25">
      <c r="A114" s="2" t="s">
        <v>43</v>
      </c>
      <c r="B114" s="89">
        <v>20.94</v>
      </c>
      <c r="C114" s="99">
        <f>B114-J$110-J$112</f>
        <v>16.219454250000002</v>
      </c>
      <c r="D114" s="90">
        <f>C114-K$110-K$112</f>
        <v>12.282225540000002</v>
      </c>
      <c r="E114" s="90">
        <f>D114-L$110-L$112</f>
        <v>6.9251400000000025</v>
      </c>
      <c r="F114" s="90">
        <f>E114-M$110-M$112</f>
        <v>3.3774865200000024</v>
      </c>
      <c r="G114" s="90">
        <f>F114-N$110-N$112</f>
        <v>8.0396010000002516E-2</v>
      </c>
      <c r="H114" s="91"/>
      <c r="I114" s="81" t="s">
        <v>176</v>
      </c>
      <c r="J114" s="155">
        <v>0.40624155000000001</v>
      </c>
      <c r="K114" s="155">
        <v>0.44430893999999999</v>
      </c>
      <c r="L114" s="155">
        <v>0.23257092000000001</v>
      </c>
      <c r="M114" s="155">
        <v>2.4760848599999998</v>
      </c>
      <c r="N114" s="155">
        <v>0.10435389</v>
      </c>
      <c r="Q114" s="163" t="s">
        <v>122</v>
      </c>
      <c r="R114" s="47">
        <f t="shared" ref="R114:W116" si="97">B114*$J$8</f>
        <v>24.233195456327099</v>
      </c>
      <c r="S114" s="47">
        <f t="shared" si="97"/>
        <v>18.770258120114867</v>
      </c>
      <c r="T114" s="47">
        <f t="shared" si="97"/>
        <v>14.213828660435182</v>
      </c>
      <c r="U114" s="47">
        <f t="shared" si="97"/>
        <v>8.014244087030999</v>
      </c>
      <c r="V114" s="47">
        <f t="shared" si="97"/>
        <v>3.9086576404140438</v>
      </c>
      <c r="W114" s="47">
        <f t="shared" si="97"/>
        <v>9.3039743277883905E-2</v>
      </c>
      <c r="Y114" s="2" t="s">
        <v>43</v>
      </c>
      <c r="Z114" s="152">
        <v>44.41</v>
      </c>
      <c r="AA114" s="152">
        <v>40.799999999999997</v>
      </c>
      <c r="AB114" s="152">
        <v>37.578917069234173</v>
      </c>
      <c r="AC114" s="153">
        <v>34.465899999999998</v>
      </c>
      <c r="AD114" s="146">
        <v>30.42</v>
      </c>
      <c r="AE114" s="96">
        <v>27.264737090909104</v>
      </c>
      <c r="AF114" s="96">
        <v>20.94</v>
      </c>
    </row>
    <row r="115" spans="1:33" x14ac:dyDescent="0.25">
      <c r="A115" s="2" t="s">
        <v>44</v>
      </c>
      <c r="B115" s="89">
        <v>0.26</v>
      </c>
      <c r="C115" s="99">
        <f>B115-J111</f>
        <v>0.26</v>
      </c>
      <c r="D115" s="90">
        <f>C115-K111</f>
        <v>0.26</v>
      </c>
      <c r="E115" s="90">
        <f>D115-L111</f>
        <v>0.26</v>
      </c>
      <c r="F115" s="90">
        <f>E115-M111</f>
        <v>0.10886678</v>
      </c>
      <c r="G115" s="90">
        <f>F115-N111</f>
        <v>0.10886678</v>
      </c>
      <c r="H115" s="20"/>
      <c r="I115" s="81" t="s">
        <v>28</v>
      </c>
      <c r="J115" s="81">
        <v>304</v>
      </c>
      <c r="K115" s="157">
        <v>235</v>
      </c>
      <c r="L115" s="157">
        <v>284</v>
      </c>
      <c r="M115" s="157">
        <v>311</v>
      </c>
      <c r="N115" s="157">
        <v>221</v>
      </c>
      <c r="Q115" s="162" t="s">
        <v>124</v>
      </c>
      <c r="R115" s="47">
        <f t="shared" si="97"/>
        <v>0.3008897239085504</v>
      </c>
      <c r="S115" s="47">
        <f t="shared" si="97"/>
        <v>0.3008897239085504</v>
      </c>
      <c r="T115" s="47">
        <f t="shared" si="97"/>
        <v>0.3008897239085504</v>
      </c>
      <c r="U115" s="47">
        <f t="shared" si="97"/>
        <v>0.3008897239085504</v>
      </c>
      <c r="V115" s="47">
        <f t="shared" si="97"/>
        <v>0.12598805914235731</v>
      </c>
      <c r="W115" s="47">
        <f t="shared" si="97"/>
        <v>0.12598805914235731</v>
      </c>
      <c r="Y115" s="2" t="s">
        <v>44</v>
      </c>
      <c r="Z115" s="152">
        <v>1.36</v>
      </c>
      <c r="AA115" s="152">
        <v>1.47</v>
      </c>
      <c r="AB115" s="152">
        <v>1.0969599022732197</v>
      </c>
      <c r="AC115" s="153">
        <v>1.0709999999999997</v>
      </c>
      <c r="AD115" s="146">
        <v>0.74</v>
      </c>
      <c r="AE115" s="96">
        <v>0.48560296969696964</v>
      </c>
      <c r="AF115" s="96">
        <v>0.26</v>
      </c>
    </row>
    <row r="116" spans="1:33" x14ac:dyDescent="0.25">
      <c r="A116" s="2" t="s">
        <v>45</v>
      </c>
      <c r="B116" s="89">
        <v>0</v>
      </c>
      <c r="C116" s="99">
        <v>0</v>
      </c>
      <c r="D116" s="90">
        <v>0</v>
      </c>
      <c r="E116" s="90">
        <v>0</v>
      </c>
      <c r="F116" s="90">
        <v>0</v>
      </c>
      <c r="G116" s="90">
        <v>0</v>
      </c>
      <c r="H116" s="20"/>
      <c r="I116" s="81" t="s">
        <v>203</v>
      </c>
      <c r="J116" s="81"/>
      <c r="K116" s="81"/>
      <c r="L116" s="81"/>
      <c r="M116" s="101"/>
      <c r="N116" s="81"/>
      <c r="Q116" s="163" t="s">
        <v>125</v>
      </c>
      <c r="R116" s="47">
        <f t="shared" si="97"/>
        <v>0</v>
      </c>
      <c r="S116" s="47">
        <f t="shared" si="97"/>
        <v>0</v>
      </c>
      <c r="T116" s="47">
        <f t="shared" si="97"/>
        <v>0</v>
      </c>
      <c r="U116" s="47">
        <f t="shared" si="97"/>
        <v>0</v>
      </c>
      <c r="V116" s="47">
        <f t="shared" si="97"/>
        <v>0</v>
      </c>
      <c r="W116" s="47">
        <f t="shared" si="97"/>
        <v>0</v>
      </c>
      <c r="Y116" s="2" t="s">
        <v>45</v>
      </c>
      <c r="Z116" s="152">
        <v>0</v>
      </c>
      <c r="AA116" s="152">
        <v>0</v>
      </c>
      <c r="AB116" s="152">
        <v>0</v>
      </c>
      <c r="AC116" s="153">
        <v>0</v>
      </c>
      <c r="AD116" s="146">
        <v>0</v>
      </c>
      <c r="AE116" s="96">
        <v>0</v>
      </c>
      <c r="AF116" s="96">
        <v>0</v>
      </c>
    </row>
    <row r="117" spans="1:33" x14ac:dyDescent="0.25">
      <c r="A117" s="2" t="s">
        <v>46</v>
      </c>
      <c r="B117" s="89">
        <v>0</v>
      </c>
      <c r="C117" s="99">
        <v>0</v>
      </c>
      <c r="D117" s="90">
        <v>0</v>
      </c>
      <c r="E117" s="90">
        <v>0</v>
      </c>
      <c r="F117" s="90">
        <v>0</v>
      </c>
      <c r="G117" s="90">
        <v>0</v>
      </c>
      <c r="H117" s="20"/>
      <c r="Q117" s="162" t="s">
        <v>127</v>
      </c>
      <c r="R117" s="47">
        <f t="shared" ref="R117:W117" si="98">B117*$J$9</f>
        <v>0</v>
      </c>
      <c r="S117" s="47">
        <f t="shared" si="98"/>
        <v>0</v>
      </c>
      <c r="T117" s="47">
        <f t="shared" si="98"/>
        <v>0</v>
      </c>
      <c r="U117" s="47">
        <f t="shared" si="98"/>
        <v>0</v>
      </c>
      <c r="V117" s="47">
        <f t="shared" si="98"/>
        <v>0</v>
      </c>
      <c r="W117" s="47">
        <f t="shared" si="98"/>
        <v>0</v>
      </c>
      <c r="Y117" s="2" t="s">
        <v>46</v>
      </c>
      <c r="Z117" s="152">
        <v>0</v>
      </c>
      <c r="AA117" s="152">
        <v>0</v>
      </c>
      <c r="AB117" s="152">
        <v>0</v>
      </c>
      <c r="AC117" s="153">
        <v>0</v>
      </c>
      <c r="AD117" s="146">
        <v>0</v>
      </c>
      <c r="AE117" s="96">
        <v>0</v>
      </c>
      <c r="AF117" s="96">
        <v>0</v>
      </c>
    </row>
    <row r="118" spans="1:33" x14ac:dyDescent="0.25">
      <c r="A118" s="2" t="s">
        <v>47</v>
      </c>
      <c r="B118" s="89">
        <f t="shared" ref="B118:G118" si="99">SUM(B109:B117)</f>
        <v>268.41999999999996</v>
      </c>
      <c r="C118" s="99">
        <f t="shared" si="99"/>
        <v>268.42</v>
      </c>
      <c r="D118" s="90">
        <f t="shared" si="99"/>
        <v>268.42</v>
      </c>
      <c r="E118" s="90">
        <f t="shared" si="99"/>
        <v>268.42</v>
      </c>
      <c r="F118" s="90">
        <f t="shared" si="99"/>
        <v>268.42</v>
      </c>
      <c r="G118" s="90">
        <f t="shared" si="99"/>
        <v>268.42</v>
      </c>
      <c r="H118" s="20"/>
      <c r="I118" s="143" t="s">
        <v>144</v>
      </c>
      <c r="J118" s="81"/>
      <c r="K118" s="81"/>
      <c r="L118" s="81"/>
      <c r="M118" s="81"/>
      <c r="N118" s="81"/>
      <c r="Q118" s="163" t="s">
        <v>133</v>
      </c>
      <c r="R118" s="47">
        <f t="shared" ref="R118:W118" si="100">SUM(R109:R117)</f>
        <v>44.58509973552291</v>
      </c>
      <c r="S118" s="47">
        <f t="shared" si="100"/>
        <v>38.616019132271539</v>
      </c>
      <c r="T118" s="47">
        <f t="shared" si="100"/>
        <v>33.145837051239312</v>
      </c>
      <c r="U118" s="47">
        <f t="shared" si="100"/>
        <v>26.635527103947833</v>
      </c>
      <c r="V118" s="47">
        <f t="shared" si="100"/>
        <v>19.877487108340841</v>
      </c>
      <c r="W118" s="47">
        <f t="shared" si="100"/>
        <v>15.917806982221059</v>
      </c>
      <c r="Y118" s="2" t="s">
        <v>47</v>
      </c>
      <c r="Z118" s="152">
        <f>SUM(Z109:Z117)</f>
        <v>273.33000000000004</v>
      </c>
      <c r="AA118" s="153">
        <f>SUM(AA109:AA117)</f>
        <v>272.71000000000004</v>
      </c>
      <c r="AB118" s="152">
        <f>SUM(AB109:AB117)</f>
        <v>273.0498563465456</v>
      </c>
      <c r="AC118" s="153">
        <f t="shared" ref="AC118:AD118" si="101">SUM(AC109:AC117)</f>
        <v>271.90730000000002</v>
      </c>
      <c r="AD118" s="153">
        <f t="shared" si="101"/>
        <v>271.25</v>
      </c>
      <c r="AE118" s="153">
        <f>SUM(AE109:AE117)</f>
        <v>270.98706038636368</v>
      </c>
      <c r="AF118" s="153">
        <f>SUM(AF109:AF117)</f>
        <v>268.41999999999996</v>
      </c>
    </row>
    <row r="119" spans="1:33" x14ac:dyDescent="0.25">
      <c r="A119" s="135" t="s">
        <v>48</v>
      </c>
      <c r="B119" s="136" t="s">
        <v>94</v>
      </c>
      <c r="C119" s="135" t="s">
        <v>95</v>
      </c>
      <c r="D119" s="135" t="s">
        <v>96</v>
      </c>
      <c r="E119" s="135" t="s">
        <v>97</v>
      </c>
      <c r="F119" s="135" t="s">
        <v>98</v>
      </c>
      <c r="G119" s="135" t="s">
        <v>99</v>
      </c>
      <c r="H119" s="20"/>
      <c r="I119" s="186" t="s">
        <v>110</v>
      </c>
      <c r="J119" s="135" t="s">
        <v>69</v>
      </c>
      <c r="K119" s="135" t="s">
        <v>70</v>
      </c>
      <c r="L119" s="135" t="s">
        <v>71</v>
      </c>
      <c r="M119" s="135" t="s">
        <v>72</v>
      </c>
      <c r="N119" s="187" t="s">
        <v>73</v>
      </c>
      <c r="Q119" s="162" t="s">
        <v>135</v>
      </c>
      <c r="R119" s="47">
        <f t="shared" ref="R119:W120" si="102">B120*$J$13</f>
        <v>9.8074671006201211</v>
      </c>
      <c r="S119" s="47">
        <f t="shared" si="102"/>
        <v>8.7524529468379146</v>
      </c>
      <c r="T119" s="47">
        <f t="shared" si="102"/>
        <v>7.9368992424339053</v>
      </c>
      <c r="U119" s="47">
        <f t="shared" si="102"/>
        <v>6.9512939145584225</v>
      </c>
      <c r="V119" s="47">
        <f t="shared" si="102"/>
        <v>5.8719866717088625</v>
      </c>
      <c r="W119" s="47">
        <f t="shared" si="102"/>
        <v>5.1050191454395604</v>
      </c>
      <c r="Y119" s="130" t="s">
        <v>48</v>
      </c>
      <c r="Z119" s="158" t="s">
        <v>103</v>
      </c>
      <c r="AA119" s="158" t="s">
        <v>104</v>
      </c>
      <c r="AB119" s="158" t="s">
        <v>105</v>
      </c>
      <c r="AC119" s="158" t="s">
        <v>106</v>
      </c>
      <c r="AD119" s="158" t="s">
        <v>107</v>
      </c>
      <c r="AE119" s="158" t="s">
        <v>108</v>
      </c>
      <c r="AF119" s="159" t="s">
        <v>109</v>
      </c>
      <c r="AG119" s="152"/>
    </row>
    <row r="120" spans="1:33" x14ac:dyDescent="0.25">
      <c r="A120" s="2" t="s">
        <v>38</v>
      </c>
      <c r="B120" s="25">
        <v>677</v>
      </c>
      <c r="C120" s="94">
        <f t="shared" ref="C120:G121" si="103">B120-J$115*B120/(B$120+B$121+B$123)</f>
        <v>604.17338995045998</v>
      </c>
      <c r="D120" s="90">
        <f t="shared" si="103"/>
        <v>547.87650389242742</v>
      </c>
      <c r="E120" s="90">
        <f t="shared" si="103"/>
        <v>479.84111818825193</v>
      </c>
      <c r="F120" s="90">
        <f t="shared" si="103"/>
        <v>405.33757961783436</v>
      </c>
      <c r="G120" s="90">
        <f t="shared" si="103"/>
        <v>352.39455060155694</v>
      </c>
      <c r="H120" s="20"/>
      <c r="I120" s="81" t="s">
        <v>147</v>
      </c>
      <c r="J120" s="157">
        <v>0</v>
      </c>
      <c r="K120" s="157">
        <v>0</v>
      </c>
      <c r="L120" s="157">
        <v>0</v>
      </c>
      <c r="M120" s="157">
        <v>0</v>
      </c>
      <c r="N120" s="157">
        <v>0</v>
      </c>
      <c r="Q120" s="169" t="s">
        <v>137</v>
      </c>
      <c r="R120" s="47">
        <f t="shared" si="102"/>
        <v>1.08649930952217</v>
      </c>
      <c r="S120" s="47">
        <f t="shared" si="102"/>
        <v>0.96962181833507188</v>
      </c>
      <c r="T120" s="47">
        <f t="shared" si="102"/>
        <v>0.87927244192399268</v>
      </c>
      <c r="U120" s="47">
        <f t="shared" si="102"/>
        <v>0.77008425936762448</v>
      </c>
      <c r="V120" s="47">
        <f t="shared" si="102"/>
        <v>0.65051551015977072</v>
      </c>
      <c r="W120" s="47">
        <f t="shared" si="102"/>
        <v>0.56554864979020258</v>
      </c>
      <c r="Y120" s="2" t="s">
        <v>38</v>
      </c>
      <c r="Z120" s="154">
        <v>1684</v>
      </c>
      <c r="AA120" s="154">
        <v>1493</v>
      </c>
      <c r="AB120" s="154">
        <v>1310</v>
      </c>
      <c r="AC120" s="152">
        <v>1212</v>
      </c>
      <c r="AD120" s="145">
        <v>1044</v>
      </c>
      <c r="AE120" s="145">
        <v>872</v>
      </c>
      <c r="AF120" s="145">
        <v>677</v>
      </c>
    </row>
    <row r="121" spans="1:33" x14ac:dyDescent="0.25">
      <c r="A121" s="2" t="s">
        <v>39</v>
      </c>
      <c r="B121" s="25">
        <v>75</v>
      </c>
      <c r="C121" s="94">
        <f t="shared" si="103"/>
        <v>66.932059447983022</v>
      </c>
      <c r="D121" s="90">
        <f t="shared" si="103"/>
        <v>60.69532908704884</v>
      </c>
      <c r="E121" s="90">
        <f t="shared" si="103"/>
        <v>53.158174097664549</v>
      </c>
      <c r="F121" s="90">
        <f t="shared" si="103"/>
        <v>44.904458598726123</v>
      </c>
      <c r="G121" s="90">
        <f t="shared" si="103"/>
        <v>39.039278131634831</v>
      </c>
      <c r="H121" s="20"/>
      <c r="I121" s="81" t="s">
        <v>28</v>
      </c>
      <c r="J121" s="157">
        <v>0</v>
      </c>
      <c r="K121" s="157">
        <v>0</v>
      </c>
      <c r="L121" s="157">
        <v>0</v>
      </c>
      <c r="M121" s="157">
        <v>0</v>
      </c>
      <c r="N121" s="157">
        <v>0</v>
      </c>
      <c r="Q121" s="162" t="s">
        <v>138</v>
      </c>
      <c r="R121" s="47">
        <f t="shared" ref="R121:W122" si="104">B122*$J$14</f>
        <v>0</v>
      </c>
      <c r="S121" s="47">
        <f t="shared" si="104"/>
        <v>0</v>
      </c>
      <c r="T121" s="47">
        <f t="shared" si="104"/>
        <v>0</v>
      </c>
      <c r="U121" s="47">
        <f t="shared" si="104"/>
        <v>0</v>
      </c>
      <c r="V121" s="47">
        <f t="shared" si="104"/>
        <v>0</v>
      </c>
      <c r="W121" s="47">
        <f t="shared" si="104"/>
        <v>0</v>
      </c>
      <c r="Y121" s="2" t="s">
        <v>39</v>
      </c>
      <c r="Z121" s="154">
        <v>295</v>
      </c>
      <c r="AA121" s="154">
        <v>272</v>
      </c>
      <c r="AB121" s="154">
        <v>210</v>
      </c>
      <c r="AC121" s="152">
        <v>71</v>
      </c>
      <c r="AD121" s="145">
        <v>58</v>
      </c>
      <c r="AE121" s="145">
        <v>55</v>
      </c>
      <c r="AF121" s="145">
        <v>75</v>
      </c>
    </row>
    <row r="122" spans="1:33" x14ac:dyDescent="0.25">
      <c r="A122" s="2" t="s">
        <v>40</v>
      </c>
      <c r="B122" s="25">
        <v>0</v>
      </c>
      <c r="C122" s="94">
        <v>0</v>
      </c>
      <c r="D122" s="90"/>
      <c r="E122" s="90"/>
      <c r="F122" s="90"/>
      <c r="G122" s="90"/>
      <c r="H122" s="20"/>
      <c r="I122" s="81" t="s">
        <v>203</v>
      </c>
      <c r="J122" s="157"/>
      <c r="K122" s="157"/>
      <c r="L122" s="157"/>
      <c r="M122" s="157"/>
      <c r="N122" s="157"/>
      <c r="Q122" s="169" t="s">
        <v>139</v>
      </c>
      <c r="R122" s="47">
        <f t="shared" si="104"/>
        <v>2.6863613630671721</v>
      </c>
      <c r="S122" s="47">
        <f t="shared" si="104"/>
        <v>2.3973826460210219</v>
      </c>
      <c r="T122" s="47">
        <f t="shared" si="104"/>
        <v>2.1739944930412678</v>
      </c>
      <c r="U122" s="47">
        <f t="shared" si="104"/>
        <v>1.9040275336955221</v>
      </c>
      <c r="V122" s="47">
        <f t="shared" si="104"/>
        <v>1.6083947014542304</v>
      </c>
      <c r="W122" s="47">
        <f t="shared" si="104"/>
        <v>1.3983147788647594</v>
      </c>
      <c r="Y122" s="81" t="s">
        <v>40</v>
      </c>
      <c r="Z122" s="154">
        <v>0</v>
      </c>
      <c r="AA122" s="2">
        <v>0</v>
      </c>
      <c r="AB122" s="154">
        <v>0</v>
      </c>
      <c r="AC122" s="154">
        <v>0</v>
      </c>
      <c r="AD122" s="145">
        <v>0</v>
      </c>
      <c r="AE122" s="145">
        <v>0</v>
      </c>
      <c r="AF122" s="145">
        <v>0</v>
      </c>
    </row>
    <row r="123" spans="1:33" x14ac:dyDescent="0.25">
      <c r="A123" s="2" t="s">
        <v>41</v>
      </c>
      <c r="B123" s="25">
        <v>2074</v>
      </c>
      <c r="C123" s="94">
        <f>B123-J$115*B123/(B$120+B$121+B$123)</f>
        <v>1850.8945506015571</v>
      </c>
      <c r="D123" s="90">
        <f>C123-K$115*C123/(C$120+C$121+C$123)</f>
        <v>1678.4281670205237</v>
      </c>
      <c r="E123" s="90">
        <f>D123-L$115*D123/(D$120+D$121+D$123)</f>
        <v>1470.0007077140835</v>
      </c>
      <c r="F123" s="90">
        <f>E123-M$115*E123/(E$120+E$121+E$123)</f>
        <v>1241.7579617834394</v>
      </c>
      <c r="G123" s="90">
        <f>F123-N$115*F123/(F$120+F$121+F$123)</f>
        <v>1079.5661712668082</v>
      </c>
      <c r="H123" s="20"/>
      <c r="I123" s="182"/>
      <c r="J123" s="20"/>
      <c r="K123" s="20"/>
      <c r="L123" s="20"/>
      <c r="M123" s="20"/>
      <c r="N123" s="20"/>
      <c r="Q123" s="162" t="s">
        <v>140</v>
      </c>
      <c r="R123" s="47">
        <f t="shared" ref="R123:W123" si="105">B124*$J$15</f>
        <v>2.2128315210194982</v>
      </c>
      <c r="S123" s="47">
        <f t="shared" si="105"/>
        <v>2.2927816972008537</v>
      </c>
      <c r="T123" s="47">
        <f t="shared" si="105"/>
        <v>2.3545852873410467</v>
      </c>
      <c r="U123" s="47">
        <f t="shared" si="105"/>
        <v>2.4292755835104711</v>
      </c>
      <c r="V123" s="47">
        <f t="shared" si="105"/>
        <v>2.5110667176960026</v>
      </c>
      <c r="W123" s="47">
        <f t="shared" si="105"/>
        <v>2.5691883918278435</v>
      </c>
      <c r="Y123" s="2" t="s">
        <v>41</v>
      </c>
      <c r="Z123" s="154">
        <v>2041</v>
      </c>
      <c r="AA123" s="2">
        <v>2049</v>
      </c>
      <c r="AB123" s="154">
        <v>2113</v>
      </c>
      <c r="AC123" s="154">
        <v>2166</v>
      </c>
      <c r="AD123" s="145">
        <v>2142</v>
      </c>
      <c r="AE123" s="145">
        <v>2116</v>
      </c>
      <c r="AF123" s="145">
        <v>2074</v>
      </c>
    </row>
    <row r="124" spans="1:33" x14ac:dyDescent="0.25">
      <c r="A124" s="2" t="s">
        <v>42</v>
      </c>
      <c r="B124" s="25">
        <v>8414</v>
      </c>
      <c r="C124" s="99">
        <f>B124+J115+J121</f>
        <v>8718</v>
      </c>
      <c r="D124" s="90">
        <f>C124+K115+K121</f>
        <v>8953</v>
      </c>
      <c r="E124" s="90">
        <f>D124+L115+L121</f>
        <v>9237</v>
      </c>
      <c r="F124" s="90">
        <f>E124+M115+M121</f>
        <v>9548</v>
      </c>
      <c r="G124" s="90">
        <f>F124+N115+N121</f>
        <v>9769</v>
      </c>
      <c r="H124" s="20"/>
      <c r="I124" s="183"/>
      <c r="J124" s="183"/>
      <c r="K124" s="20"/>
      <c r="L124" s="20"/>
      <c r="M124" s="20"/>
      <c r="N124" s="20"/>
      <c r="Q124" s="169" t="s">
        <v>142</v>
      </c>
      <c r="R124" s="47">
        <f t="shared" ref="R124:W125" si="106">B125*$J$13</f>
        <v>0</v>
      </c>
      <c r="S124" s="47">
        <f t="shared" si="106"/>
        <v>0</v>
      </c>
      <c r="T124" s="47">
        <f t="shared" si="106"/>
        <v>0</v>
      </c>
      <c r="U124" s="47">
        <f t="shared" si="106"/>
        <v>0</v>
      </c>
      <c r="V124" s="47">
        <f t="shared" si="106"/>
        <v>0</v>
      </c>
      <c r="W124" s="47">
        <f t="shared" si="106"/>
        <v>0</v>
      </c>
      <c r="Y124" s="2" t="s">
        <v>42</v>
      </c>
      <c r="Z124" s="154">
        <v>7050</v>
      </c>
      <c r="AA124" s="2">
        <v>7306</v>
      </c>
      <c r="AB124" s="154">
        <v>7551</v>
      </c>
      <c r="AC124" s="154">
        <v>7762</v>
      </c>
      <c r="AD124" s="145">
        <v>7998</v>
      </c>
      <c r="AE124" s="145">
        <v>8210</v>
      </c>
      <c r="AF124" s="145">
        <v>8414</v>
      </c>
    </row>
    <row r="125" spans="1:33" x14ac:dyDescent="0.25">
      <c r="A125" s="2" t="s">
        <v>43</v>
      </c>
      <c r="B125" s="25">
        <v>0</v>
      </c>
      <c r="C125" s="99">
        <v>0</v>
      </c>
      <c r="D125" s="90">
        <v>0</v>
      </c>
      <c r="E125" s="90">
        <v>0</v>
      </c>
      <c r="F125" s="90">
        <v>0</v>
      </c>
      <c r="G125" s="90">
        <v>0</v>
      </c>
      <c r="H125" s="20"/>
      <c r="J125" s="184"/>
      <c r="K125" s="20"/>
      <c r="L125" s="20"/>
      <c r="M125" s="20"/>
      <c r="N125" s="20"/>
      <c r="Q125" s="162" t="s">
        <v>143</v>
      </c>
      <c r="R125" s="47">
        <f t="shared" si="106"/>
        <v>0</v>
      </c>
      <c r="S125" s="47">
        <f t="shared" si="106"/>
        <v>0</v>
      </c>
      <c r="T125" s="47">
        <f t="shared" si="106"/>
        <v>0</v>
      </c>
      <c r="U125" s="47">
        <f t="shared" si="106"/>
        <v>0</v>
      </c>
      <c r="V125" s="47">
        <f t="shared" si="106"/>
        <v>0</v>
      </c>
      <c r="W125" s="47">
        <f t="shared" si="106"/>
        <v>0</v>
      </c>
      <c r="Y125" s="2" t="s">
        <v>43</v>
      </c>
      <c r="Z125" s="154">
        <v>0</v>
      </c>
      <c r="AA125" s="2">
        <v>0</v>
      </c>
      <c r="AB125" s="154">
        <v>0</v>
      </c>
      <c r="AC125" s="154">
        <v>0</v>
      </c>
      <c r="AD125" s="145">
        <v>0</v>
      </c>
      <c r="AE125" s="145">
        <v>0</v>
      </c>
      <c r="AF125" s="145">
        <v>0</v>
      </c>
    </row>
    <row r="126" spans="1:33" x14ac:dyDescent="0.25">
      <c r="A126" s="2" t="s">
        <v>44</v>
      </c>
      <c r="B126" s="25">
        <v>0</v>
      </c>
      <c r="C126" s="99">
        <v>0</v>
      </c>
      <c r="D126" s="90">
        <v>0</v>
      </c>
      <c r="E126" s="90">
        <v>0</v>
      </c>
      <c r="F126" s="90">
        <v>0</v>
      </c>
      <c r="G126" s="90">
        <v>0</v>
      </c>
      <c r="H126" s="20"/>
      <c r="J126" s="20"/>
      <c r="K126" s="20"/>
      <c r="L126" s="20"/>
      <c r="M126" s="20"/>
      <c r="N126" s="20"/>
      <c r="Q126" s="169" t="s">
        <v>145</v>
      </c>
      <c r="R126" s="47">
        <f t="shared" ref="R126:W126" si="107">B127*$J$16</f>
        <v>0</v>
      </c>
      <c r="S126" s="47">
        <f t="shared" si="107"/>
        <v>0</v>
      </c>
      <c r="T126" s="47">
        <f t="shared" si="107"/>
        <v>0</v>
      </c>
      <c r="U126" s="47">
        <f t="shared" si="107"/>
        <v>0</v>
      </c>
      <c r="V126" s="47">
        <f t="shared" si="107"/>
        <v>0</v>
      </c>
      <c r="W126" s="47">
        <f t="shared" si="107"/>
        <v>0</v>
      </c>
      <c r="Y126" s="2" t="s">
        <v>44</v>
      </c>
      <c r="Z126" s="154">
        <v>0</v>
      </c>
      <c r="AA126" s="2">
        <v>0</v>
      </c>
      <c r="AB126" s="154">
        <v>0</v>
      </c>
      <c r="AC126" s="154">
        <v>0</v>
      </c>
      <c r="AD126" s="145">
        <v>0</v>
      </c>
      <c r="AE126" s="145">
        <v>0</v>
      </c>
      <c r="AF126" s="145">
        <v>0</v>
      </c>
    </row>
    <row r="127" spans="1:33" x14ac:dyDescent="0.25">
      <c r="A127" s="2" t="s">
        <v>45</v>
      </c>
      <c r="B127" s="25">
        <v>0</v>
      </c>
      <c r="C127" s="99">
        <v>0</v>
      </c>
      <c r="D127" s="90">
        <v>0</v>
      </c>
      <c r="E127" s="90">
        <v>0</v>
      </c>
      <c r="F127" s="90">
        <v>0</v>
      </c>
      <c r="G127" s="90">
        <v>0</v>
      </c>
      <c r="H127" s="20"/>
      <c r="J127" s="20"/>
      <c r="K127" s="20"/>
      <c r="L127" s="20"/>
      <c r="M127" s="20"/>
      <c r="N127" s="20"/>
      <c r="Q127" s="162" t="s">
        <v>146</v>
      </c>
      <c r="R127" s="47">
        <f t="shared" ref="R127:W127" si="108">B128*$J$13</f>
        <v>0</v>
      </c>
      <c r="S127" s="47">
        <f t="shared" si="108"/>
        <v>0</v>
      </c>
      <c r="T127" s="47">
        <f t="shared" si="108"/>
        <v>0</v>
      </c>
      <c r="U127" s="47">
        <f t="shared" si="108"/>
        <v>0</v>
      </c>
      <c r="V127" s="47">
        <f t="shared" si="108"/>
        <v>0</v>
      </c>
      <c r="W127" s="47">
        <f t="shared" si="108"/>
        <v>0</v>
      </c>
      <c r="Y127" s="2" t="s">
        <v>45</v>
      </c>
      <c r="Z127" s="154">
        <v>0</v>
      </c>
      <c r="AA127" s="154">
        <v>0</v>
      </c>
      <c r="AB127" s="154">
        <v>0</v>
      </c>
      <c r="AC127" s="154">
        <v>0</v>
      </c>
      <c r="AD127" s="145">
        <v>0</v>
      </c>
      <c r="AE127" s="145">
        <v>0</v>
      </c>
      <c r="AF127" s="145">
        <v>0</v>
      </c>
    </row>
    <row r="128" spans="1:33" x14ac:dyDescent="0.25">
      <c r="A128" s="2" t="s">
        <v>46</v>
      </c>
      <c r="B128" s="25">
        <v>0</v>
      </c>
      <c r="C128" s="99">
        <v>0</v>
      </c>
      <c r="D128" s="90">
        <v>0</v>
      </c>
      <c r="E128" s="90">
        <v>0</v>
      </c>
      <c r="F128" s="90">
        <v>0</v>
      </c>
      <c r="G128" s="90">
        <v>0</v>
      </c>
      <c r="H128" s="20"/>
      <c r="J128" s="185"/>
      <c r="K128" s="20"/>
      <c r="L128" s="20"/>
      <c r="M128" s="20"/>
      <c r="N128" s="20"/>
      <c r="Q128" s="169" t="s">
        <v>148</v>
      </c>
      <c r="R128" s="47">
        <f t="shared" ref="R128" si="109">SUM(R119:R127)</f>
        <v>15.79315929422896</v>
      </c>
      <c r="S128" s="47">
        <f t="shared" ref="S128:W128" si="110">SUM(S119:S127)</f>
        <v>14.412239108394862</v>
      </c>
      <c r="T128" s="47">
        <f t="shared" si="110"/>
        <v>13.344751464740211</v>
      </c>
      <c r="U128" s="47">
        <f t="shared" si="110"/>
        <v>12.05468129113204</v>
      </c>
      <c r="V128" s="47">
        <f t="shared" si="110"/>
        <v>10.641963601018865</v>
      </c>
      <c r="W128" s="47">
        <f t="shared" si="110"/>
        <v>9.6380709659223669</v>
      </c>
      <c r="Y128" s="2" t="s">
        <v>46</v>
      </c>
      <c r="Z128" s="154">
        <v>0</v>
      </c>
      <c r="AA128" s="154">
        <v>0</v>
      </c>
      <c r="AB128" s="154">
        <v>0</v>
      </c>
      <c r="AC128" s="154">
        <v>0</v>
      </c>
      <c r="AD128" s="145">
        <v>0</v>
      </c>
      <c r="AE128" s="145">
        <v>0</v>
      </c>
      <c r="AF128" s="145">
        <v>0</v>
      </c>
    </row>
    <row r="129" spans="1:32" x14ac:dyDescent="0.25">
      <c r="A129" s="2" t="s">
        <v>50</v>
      </c>
      <c r="B129" s="25">
        <f t="shared" ref="B129:C129" si="111">SUM(B120:B128)</f>
        <v>11240</v>
      </c>
      <c r="C129" s="99">
        <f t="shared" si="111"/>
        <v>11240</v>
      </c>
      <c r="D129" s="90">
        <f t="shared" ref="D129:G129" si="112">SUM(D120:D128)</f>
        <v>11240</v>
      </c>
      <c r="E129" s="90">
        <f t="shared" si="112"/>
        <v>11240</v>
      </c>
      <c r="F129" s="90">
        <f t="shared" si="112"/>
        <v>11240</v>
      </c>
      <c r="G129" s="90">
        <f t="shared" si="112"/>
        <v>11240</v>
      </c>
      <c r="H129" s="20"/>
      <c r="J129" s="185"/>
      <c r="K129" s="20"/>
      <c r="L129" s="20"/>
      <c r="M129" s="20"/>
      <c r="N129" s="20"/>
      <c r="Q129" s="166" t="s">
        <v>141</v>
      </c>
      <c r="R129" s="167">
        <f t="shared" ref="R129:W129" si="113">R118+R128</f>
        <v>60.378259029751874</v>
      </c>
      <c r="S129" s="167">
        <f t="shared" si="113"/>
        <v>53.028258240666403</v>
      </c>
      <c r="T129" s="167">
        <f t="shared" si="113"/>
        <v>46.490588515979525</v>
      </c>
      <c r="U129" s="167">
        <f t="shared" si="113"/>
        <v>38.690208395079871</v>
      </c>
      <c r="V129" s="167">
        <f t="shared" si="113"/>
        <v>30.519450709359706</v>
      </c>
      <c r="W129" s="168">
        <f t="shared" si="113"/>
        <v>25.555877948143426</v>
      </c>
      <c r="Y129" s="2" t="s">
        <v>50</v>
      </c>
      <c r="Z129" s="2">
        <f>SUM(Z120:Z128)</f>
        <v>11070</v>
      </c>
      <c r="AA129" s="2">
        <f>SUM(AA120:AA128)</f>
        <v>11120</v>
      </c>
      <c r="AB129" s="2">
        <f>SUM(AB120:AB128)</f>
        <v>11184</v>
      </c>
      <c r="AC129" s="2">
        <f t="shared" ref="AC129:AE129" si="114">SUM(AC120:AC128)</f>
        <v>11211</v>
      </c>
      <c r="AD129" s="2">
        <f t="shared" si="114"/>
        <v>11242</v>
      </c>
      <c r="AE129" s="2">
        <f t="shared" si="114"/>
        <v>11253</v>
      </c>
      <c r="AF129" s="2">
        <f t="shared" ref="AF129" si="115">SUM(AF120:AF128)</f>
        <v>11240</v>
      </c>
    </row>
    <row r="130" spans="1:32" x14ac:dyDescent="0.25">
      <c r="A130" s="2" t="s">
        <v>203</v>
      </c>
      <c r="B130" s="25"/>
      <c r="C130" s="99"/>
      <c r="D130" s="90"/>
      <c r="E130" s="90"/>
      <c r="F130" s="90"/>
      <c r="G130" s="90"/>
      <c r="Q130" s="2" t="s">
        <v>203</v>
      </c>
      <c r="R130" s="210"/>
      <c r="S130" s="210"/>
      <c r="T130" s="210"/>
      <c r="U130" s="210"/>
      <c r="V130" s="210"/>
      <c r="W130" s="210"/>
      <c r="Y130" s="2" t="s">
        <v>203</v>
      </c>
      <c r="Z130" s="154"/>
      <c r="AB130" s="154"/>
      <c r="AC130" s="154"/>
      <c r="AD130" s="211"/>
      <c r="AE130" s="211"/>
      <c r="AF130" s="211"/>
    </row>
    <row r="131" spans="1:32" x14ac:dyDescent="0.25">
      <c r="R131" s="154"/>
      <c r="S131" s="154"/>
      <c r="T131" s="154"/>
      <c r="U131" s="154"/>
      <c r="V131" s="154"/>
      <c r="W131" s="154"/>
      <c r="Y131" s="150"/>
    </row>
    <row r="132" spans="1:32" x14ac:dyDescent="0.25">
      <c r="R132" s="154"/>
      <c r="S132" s="154"/>
      <c r="T132" s="154"/>
      <c r="U132" s="154"/>
      <c r="V132" s="154"/>
      <c r="W132" s="154"/>
      <c r="Y132" s="150"/>
    </row>
    <row r="133" spans="1:32" x14ac:dyDescent="0.25">
      <c r="A133" s="18" t="s">
        <v>177</v>
      </c>
      <c r="B133" s="129"/>
      <c r="I133" s="18" t="s">
        <v>177</v>
      </c>
      <c r="J133" s="81"/>
      <c r="K133" s="81"/>
      <c r="L133" s="81"/>
      <c r="M133" s="81"/>
      <c r="N133" s="81"/>
      <c r="Q133" s="18" t="s">
        <v>177</v>
      </c>
      <c r="Y133" s="18" t="s">
        <v>177</v>
      </c>
      <c r="Z133" s="19"/>
      <c r="AA133" s="19"/>
      <c r="AB133" s="19"/>
      <c r="AC133" s="19"/>
      <c r="AD133" s="19"/>
      <c r="AE133" s="19"/>
      <c r="AF133" s="19"/>
    </row>
    <row r="134" spans="1:32" x14ac:dyDescent="0.25">
      <c r="A134" s="135" t="s">
        <v>34</v>
      </c>
      <c r="B134" s="136" t="s">
        <v>94</v>
      </c>
      <c r="C134" s="135" t="s">
        <v>95</v>
      </c>
      <c r="D134" s="135" t="s">
        <v>96</v>
      </c>
      <c r="E134" s="135" t="s">
        <v>97</v>
      </c>
      <c r="F134" s="135" t="s">
        <v>98</v>
      </c>
      <c r="G134" s="135" t="s">
        <v>99</v>
      </c>
      <c r="I134" s="143" t="s">
        <v>178</v>
      </c>
      <c r="O134" s="20"/>
      <c r="Q134" s="135" t="s">
        <v>101</v>
      </c>
      <c r="R134" s="164" t="s">
        <v>102</v>
      </c>
      <c r="S134" s="164" t="s">
        <v>69</v>
      </c>
      <c r="T134" s="164" t="s">
        <v>70</v>
      </c>
      <c r="U134" s="164" t="s">
        <v>71</v>
      </c>
      <c r="V134" s="164" t="s">
        <v>72</v>
      </c>
      <c r="W134" s="165" t="s">
        <v>73</v>
      </c>
      <c r="Y134" s="130" t="s">
        <v>34</v>
      </c>
      <c r="Z134" s="158" t="s">
        <v>103</v>
      </c>
      <c r="AA134" s="158" t="s">
        <v>104</v>
      </c>
      <c r="AB134" s="158" t="s">
        <v>105</v>
      </c>
      <c r="AC134" s="158" t="s">
        <v>106</v>
      </c>
      <c r="AD134" s="158" t="s">
        <v>107</v>
      </c>
      <c r="AE134" s="158" t="s">
        <v>108</v>
      </c>
      <c r="AF134" s="159" t="s">
        <v>109</v>
      </c>
    </row>
    <row r="135" spans="1:32" x14ac:dyDescent="0.25">
      <c r="A135" s="2" t="s">
        <v>38</v>
      </c>
      <c r="B135" s="89">
        <v>8.870000000000001</v>
      </c>
      <c r="C135" s="99">
        <f>B135-J137*B135/(B135+B136)</f>
        <v>8.4139650067294767</v>
      </c>
      <c r="D135" s="90">
        <f>C135-K137*C135/(C135+C136)</f>
        <v>7.9292786002691802</v>
      </c>
      <c r="E135" s="90">
        <f>D135-L137*D135/(D135+D136)</f>
        <v>7.1270390309555864</v>
      </c>
      <c r="F135" s="90">
        <f>E135-M137*E135/(E135+E136)</f>
        <v>6.1839300134589514</v>
      </c>
      <c r="G135" s="90">
        <f>F135-N137*F135/(F135+F136)</f>
        <v>5.3339380888290719</v>
      </c>
      <c r="H135" s="95"/>
      <c r="I135" s="174" t="s">
        <v>110</v>
      </c>
      <c r="J135" s="131" t="s">
        <v>69</v>
      </c>
      <c r="K135" s="131" t="s">
        <v>70</v>
      </c>
      <c r="L135" s="131" t="s">
        <v>71</v>
      </c>
      <c r="M135" s="131" t="s">
        <v>72</v>
      </c>
      <c r="N135" s="131" t="s">
        <v>73</v>
      </c>
      <c r="Q135" s="162" t="s">
        <v>111</v>
      </c>
      <c r="R135" s="47">
        <f t="shared" ref="R135:W136" si="116">B135*$J$9</f>
        <v>7.6399494278069611</v>
      </c>
      <c r="S135" s="47">
        <f t="shared" si="116"/>
        <v>7.2471552580327678</v>
      </c>
      <c r="T135" s="47">
        <f t="shared" si="116"/>
        <v>6.8296829205240694</v>
      </c>
      <c r="U135" s="47">
        <f t="shared" si="116"/>
        <v>6.1386942239579492</v>
      </c>
      <c r="V135" s="47">
        <f t="shared" si="116"/>
        <v>5.3263712026971817</v>
      </c>
      <c r="W135" s="47">
        <f t="shared" si="116"/>
        <v>4.5942522265735537</v>
      </c>
      <c r="Y135" s="2" t="s">
        <v>38</v>
      </c>
      <c r="Z135" s="152">
        <v>27.169</v>
      </c>
      <c r="AA135" s="152">
        <v>23.629000000000001</v>
      </c>
      <c r="AB135" s="152">
        <v>18.386742424242428</v>
      </c>
      <c r="AC135" s="152">
        <v>15.220000000000002</v>
      </c>
      <c r="AD135" s="152">
        <v>12.59</v>
      </c>
      <c r="AE135" s="155">
        <v>11.520000000000001</v>
      </c>
      <c r="AF135" s="155">
        <v>8.870000000000001</v>
      </c>
    </row>
    <row r="136" spans="1:32" x14ac:dyDescent="0.25">
      <c r="A136" s="2" t="s">
        <v>39</v>
      </c>
      <c r="B136" s="89">
        <v>28.279999999999998</v>
      </c>
      <c r="C136" s="99">
        <f>B136-J137*B136/(B135+B136)</f>
        <v>26.826034993270522</v>
      </c>
      <c r="D136" s="90">
        <f>C136-K137*C136/(C135+C136)</f>
        <v>25.280721399730819</v>
      </c>
      <c r="E136" s="90">
        <f>D136-L137*D136/(D135+D136)</f>
        <v>22.722960969044411</v>
      </c>
      <c r="F136" s="90">
        <f>E136-M137*E136/(E135+E136)</f>
        <v>19.716069986541047</v>
      </c>
      <c r="G136" s="90">
        <f>F136-N137*F136/(F135+F136)</f>
        <v>17.006061911170924</v>
      </c>
      <c r="H136" s="95"/>
      <c r="I136" s="81" t="s">
        <v>165</v>
      </c>
      <c r="J136" s="81">
        <v>5.54</v>
      </c>
      <c r="K136" s="81">
        <v>5.48</v>
      </c>
      <c r="L136" s="81">
        <v>7.65</v>
      </c>
      <c r="M136" s="81">
        <v>5.39</v>
      </c>
      <c r="N136" s="81">
        <v>7.28</v>
      </c>
      <c r="Q136" s="163" t="s">
        <v>113</v>
      </c>
      <c r="R136" s="47">
        <f t="shared" si="116"/>
        <v>24.358260407934704</v>
      </c>
      <c r="S136" s="47">
        <f t="shared" si="116"/>
        <v>23.105924543085301</v>
      </c>
      <c r="T136" s="47">
        <f t="shared" si="116"/>
        <v>21.774907890915518</v>
      </c>
      <c r="U136" s="47">
        <f t="shared" si="116"/>
        <v>19.571845845944843</v>
      </c>
      <c r="V136" s="47">
        <f t="shared" si="116"/>
        <v>16.981936596648957</v>
      </c>
      <c r="W136" s="47">
        <f t="shared" si="116"/>
        <v>14.647739906144311</v>
      </c>
      <c r="Y136" s="2" t="s">
        <v>39</v>
      </c>
      <c r="Z136" s="152">
        <v>46.145000000000003</v>
      </c>
      <c r="AA136" s="152">
        <v>42.436500000000002</v>
      </c>
      <c r="AB136" s="152">
        <v>37.033478787878792</v>
      </c>
      <c r="AC136" s="152">
        <v>34.019999999999996</v>
      </c>
      <c r="AD136" s="152">
        <v>30.05</v>
      </c>
      <c r="AE136" s="155">
        <v>28.22</v>
      </c>
      <c r="AF136" s="155">
        <v>28.279999999999998</v>
      </c>
    </row>
    <row r="137" spans="1:32" x14ac:dyDescent="0.25">
      <c r="A137" s="2" t="s">
        <v>40</v>
      </c>
      <c r="B137" s="89">
        <v>0</v>
      </c>
      <c r="C137" s="99">
        <v>0</v>
      </c>
      <c r="D137" s="90">
        <v>0</v>
      </c>
      <c r="E137" s="90">
        <v>0</v>
      </c>
      <c r="F137" s="90">
        <v>0</v>
      </c>
      <c r="G137" s="90">
        <v>0</v>
      </c>
      <c r="H137" s="95"/>
      <c r="I137" s="81" t="s">
        <v>114</v>
      </c>
      <c r="J137" s="81">
        <v>1.91</v>
      </c>
      <c r="K137" s="81">
        <v>2.0299999999999998</v>
      </c>
      <c r="L137" s="81">
        <v>3.36</v>
      </c>
      <c r="M137" s="81">
        <v>3.95</v>
      </c>
      <c r="N137" s="81">
        <v>3.56</v>
      </c>
      <c r="O137" s="20"/>
      <c r="Q137" s="162" t="s">
        <v>115</v>
      </c>
      <c r="R137" s="47">
        <f t="shared" ref="R137:W138" si="117">B137*$J$10</f>
        <v>0</v>
      </c>
      <c r="S137" s="47">
        <f t="shared" si="117"/>
        <v>0</v>
      </c>
      <c r="T137" s="47">
        <f t="shared" si="117"/>
        <v>0</v>
      </c>
      <c r="U137" s="47">
        <f t="shared" si="117"/>
        <v>0</v>
      </c>
      <c r="V137" s="47">
        <f t="shared" si="117"/>
        <v>0</v>
      </c>
      <c r="W137" s="47">
        <f t="shared" si="117"/>
        <v>0</v>
      </c>
      <c r="Y137" s="81" t="s">
        <v>40</v>
      </c>
      <c r="Z137" s="152">
        <v>0</v>
      </c>
      <c r="AA137" s="152">
        <v>0</v>
      </c>
      <c r="AB137" s="152">
        <v>0</v>
      </c>
      <c r="AC137" s="152">
        <v>0.87000000000000011</v>
      </c>
      <c r="AD137" s="152">
        <v>0.8600000000000001</v>
      </c>
      <c r="AE137" s="155">
        <v>0</v>
      </c>
      <c r="AF137" s="155">
        <v>0</v>
      </c>
    </row>
    <row r="138" spans="1:32" x14ac:dyDescent="0.25">
      <c r="A138" s="2" t="s">
        <v>41</v>
      </c>
      <c r="B138" s="89">
        <v>158.57999999999998</v>
      </c>
      <c r="C138" s="99">
        <f>B138</f>
        <v>158.57999999999998</v>
      </c>
      <c r="D138" s="90">
        <f>C138</f>
        <v>158.57999999999998</v>
      </c>
      <c r="E138" s="90">
        <f>D138</f>
        <v>158.57999999999998</v>
      </c>
      <c r="F138" s="90">
        <f>E138</f>
        <v>158.57999999999998</v>
      </c>
      <c r="G138" s="90">
        <f>F138</f>
        <v>158.57999999999998</v>
      </c>
      <c r="H138" s="95"/>
      <c r="I138" s="81" t="s">
        <v>28</v>
      </c>
      <c r="J138" s="81">
        <v>541</v>
      </c>
      <c r="K138" s="81">
        <v>478</v>
      </c>
      <c r="L138" s="81">
        <v>603</v>
      </c>
      <c r="M138" s="81">
        <v>592</v>
      </c>
      <c r="N138" s="81">
        <v>745</v>
      </c>
      <c r="Q138" s="163" t="s">
        <v>117</v>
      </c>
      <c r="R138" s="47">
        <f t="shared" si="117"/>
        <v>15.342443517265844</v>
      </c>
      <c r="S138" s="47">
        <f t="shared" si="117"/>
        <v>15.342443517265844</v>
      </c>
      <c r="T138" s="47">
        <f t="shared" si="117"/>
        <v>15.342443517265844</v>
      </c>
      <c r="U138" s="47">
        <f t="shared" si="117"/>
        <v>15.342443517265844</v>
      </c>
      <c r="V138" s="47">
        <f t="shared" si="117"/>
        <v>15.342443517265844</v>
      </c>
      <c r="W138" s="47">
        <f t="shared" si="117"/>
        <v>15.342443517265844</v>
      </c>
      <c r="Y138" s="2" t="s">
        <v>41</v>
      </c>
      <c r="Z138" s="152">
        <v>164.184</v>
      </c>
      <c r="AA138" s="152">
        <v>162.53800000000001</v>
      </c>
      <c r="AB138" s="152">
        <v>163.48979999999997</v>
      </c>
      <c r="AC138" s="152">
        <v>159.71</v>
      </c>
      <c r="AD138" s="152">
        <v>158.65</v>
      </c>
      <c r="AE138" s="155">
        <v>159.91000000000003</v>
      </c>
      <c r="AF138" s="155">
        <v>158.57999999999998</v>
      </c>
    </row>
    <row r="139" spans="1:32" x14ac:dyDescent="0.25">
      <c r="A139" s="2" t="s">
        <v>42</v>
      </c>
      <c r="B139" s="89">
        <v>375.75</v>
      </c>
      <c r="C139" s="99">
        <f>B139+J136+J137+J143</f>
        <v>383.20000000000005</v>
      </c>
      <c r="D139" s="90">
        <f>C139+K136+K137+K143</f>
        <v>390.71000000000004</v>
      </c>
      <c r="E139" s="90">
        <f>D139+L136+L137+L143</f>
        <v>401.72</v>
      </c>
      <c r="F139" s="90">
        <f>E139+M136+M137+M143</f>
        <v>411.06</v>
      </c>
      <c r="G139" s="90">
        <f>F139+N136+N137+N143</f>
        <v>421.9</v>
      </c>
      <c r="H139" s="95"/>
      <c r="I139" s="81" t="s">
        <v>203</v>
      </c>
      <c r="J139" s="81"/>
      <c r="K139" s="81"/>
      <c r="L139" s="81"/>
      <c r="M139" s="81"/>
      <c r="N139" s="81"/>
      <c r="Q139" s="162" t="s">
        <v>119</v>
      </c>
      <c r="R139" s="47">
        <f t="shared" ref="R139:W139" si="118">B139*$J$11</f>
        <v>10.839394142276365</v>
      </c>
      <c r="S139" s="47">
        <f t="shared" si="118"/>
        <v>11.054306946960223</v>
      </c>
      <c r="T139" s="47">
        <f t="shared" si="118"/>
        <v>11.270950593024082</v>
      </c>
      <c r="U139" s="47">
        <f t="shared" si="118"/>
        <v>11.588559986254856</v>
      </c>
      <c r="V139" s="47">
        <f t="shared" si="118"/>
        <v>11.857994294408844</v>
      </c>
      <c r="W139" s="47">
        <f t="shared" si="118"/>
        <v>12.170699637062937</v>
      </c>
      <c r="Y139" s="2" t="s">
        <v>42</v>
      </c>
      <c r="Z139" s="152">
        <v>280.09100000000001</v>
      </c>
      <c r="AA139" s="152">
        <v>293.26100000000002</v>
      </c>
      <c r="AB139" s="152">
        <v>318.2611818181818</v>
      </c>
      <c r="AC139" s="152">
        <v>336.29</v>
      </c>
      <c r="AD139" s="152">
        <v>357.92</v>
      </c>
      <c r="AE139" s="155">
        <v>367.23</v>
      </c>
      <c r="AF139" s="155">
        <v>375.75</v>
      </c>
    </row>
    <row r="140" spans="1:32" x14ac:dyDescent="0.25">
      <c r="A140" s="2" t="s">
        <v>43</v>
      </c>
      <c r="B140" s="89">
        <v>58.69</v>
      </c>
      <c r="C140" s="99">
        <f>B140-J136</f>
        <v>53.15</v>
      </c>
      <c r="D140" s="90">
        <f>C140-K136</f>
        <v>47.67</v>
      </c>
      <c r="E140" s="90">
        <f>D140-L136</f>
        <v>40.020000000000003</v>
      </c>
      <c r="F140" s="90">
        <f>E140-M136</f>
        <v>34.630000000000003</v>
      </c>
      <c r="G140" s="90">
        <f>F140-N136</f>
        <v>27.35</v>
      </c>
      <c r="H140" s="95"/>
      <c r="Q140" s="163" t="s">
        <v>122</v>
      </c>
      <c r="R140" s="47">
        <f t="shared" ref="R140:W142" si="119">B140*$J$8</f>
        <v>67.920068831510861</v>
      </c>
      <c r="S140" s="47">
        <f t="shared" si="119"/>
        <v>61.508803175920974</v>
      </c>
      <c r="T140" s="47">
        <f t="shared" si="119"/>
        <v>55.166973610463842</v>
      </c>
      <c r="U140" s="47">
        <f t="shared" si="119"/>
        <v>46.313872118539187</v>
      </c>
      <c r="V140" s="47">
        <f t="shared" si="119"/>
        <v>40.076196688281158</v>
      </c>
      <c r="W140" s="47">
        <f t="shared" si="119"/>
        <v>31.651284418841747</v>
      </c>
      <c r="Y140" s="2" t="s">
        <v>43</v>
      </c>
      <c r="Z140" s="152">
        <v>101.90600000000001</v>
      </c>
      <c r="AA140" s="152">
        <v>99.406000000000006</v>
      </c>
      <c r="AB140" s="152">
        <v>91.433340000000001</v>
      </c>
      <c r="AC140" s="152">
        <v>78.009999999999991</v>
      </c>
      <c r="AD140" s="152">
        <v>68.44</v>
      </c>
      <c r="AE140" s="155">
        <v>64.539999999999992</v>
      </c>
      <c r="AF140" s="155">
        <v>58.69</v>
      </c>
    </row>
    <row r="141" spans="1:32" x14ac:dyDescent="0.25">
      <c r="A141" s="2" t="s">
        <v>44</v>
      </c>
      <c r="B141" s="89">
        <v>0</v>
      </c>
      <c r="C141" s="99">
        <v>0</v>
      </c>
      <c r="D141" s="90">
        <v>0</v>
      </c>
      <c r="E141" s="90">
        <v>0</v>
      </c>
      <c r="F141" s="90">
        <v>0</v>
      </c>
      <c r="G141" s="90">
        <v>0</v>
      </c>
      <c r="I141" s="143" t="s">
        <v>179</v>
      </c>
      <c r="Q141" s="162" t="s">
        <v>124</v>
      </c>
      <c r="R141" s="47">
        <f t="shared" si="119"/>
        <v>0</v>
      </c>
      <c r="S141" s="47">
        <f t="shared" si="119"/>
        <v>0</v>
      </c>
      <c r="T141" s="47">
        <f t="shared" si="119"/>
        <v>0</v>
      </c>
      <c r="U141" s="47">
        <f t="shared" si="119"/>
        <v>0</v>
      </c>
      <c r="V141" s="47">
        <f t="shared" si="119"/>
        <v>0</v>
      </c>
      <c r="W141" s="47">
        <f t="shared" si="119"/>
        <v>0</v>
      </c>
      <c r="Y141" s="2" t="s">
        <v>44</v>
      </c>
      <c r="Z141" s="152">
        <v>0</v>
      </c>
      <c r="AA141" s="152">
        <v>0</v>
      </c>
      <c r="AB141" s="152">
        <v>0</v>
      </c>
      <c r="AC141" s="152">
        <v>0</v>
      </c>
      <c r="AD141" s="152">
        <v>0</v>
      </c>
      <c r="AE141" s="155">
        <v>0</v>
      </c>
      <c r="AF141" s="155">
        <v>0</v>
      </c>
    </row>
    <row r="142" spans="1:32" x14ac:dyDescent="0.25">
      <c r="A142" s="2" t="s">
        <v>45</v>
      </c>
      <c r="B142" s="89">
        <v>0</v>
      </c>
      <c r="C142" s="99">
        <v>0</v>
      </c>
      <c r="D142" s="90">
        <v>0</v>
      </c>
      <c r="E142" s="90">
        <v>0</v>
      </c>
      <c r="F142" s="90">
        <v>0</v>
      </c>
      <c r="G142" s="90">
        <v>0</v>
      </c>
      <c r="I142" s="174" t="s">
        <v>110</v>
      </c>
      <c r="J142" s="131" t="s">
        <v>69</v>
      </c>
      <c r="K142" s="131" t="s">
        <v>70</v>
      </c>
      <c r="L142" s="131" t="s">
        <v>71</v>
      </c>
      <c r="M142" s="131" t="s">
        <v>72</v>
      </c>
      <c r="N142" s="131" t="s">
        <v>73</v>
      </c>
      <c r="Q142" s="163" t="s">
        <v>125</v>
      </c>
      <c r="R142" s="47">
        <f t="shared" si="119"/>
        <v>0</v>
      </c>
      <c r="S142" s="47">
        <f t="shared" si="119"/>
        <v>0</v>
      </c>
      <c r="T142" s="47">
        <f t="shared" si="119"/>
        <v>0</v>
      </c>
      <c r="U142" s="47">
        <f t="shared" si="119"/>
        <v>0</v>
      </c>
      <c r="V142" s="47">
        <f t="shared" si="119"/>
        <v>0</v>
      </c>
      <c r="W142" s="47">
        <f t="shared" si="119"/>
        <v>0</v>
      </c>
      <c r="Y142" s="2" t="s">
        <v>45</v>
      </c>
      <c r="Z142" s="152">
        <v>0</v>
      </c>
      <c r="AA142" s="152">
        <v>0</v>
      </c>
      <c r="AB142" s="152">
        <v>0</v>
      </c>
      <c r="AC142" s="152">
        <v>0</v>
      </c>
      <c r="AD142" s="152">
        <v>0</v>
      </c>
      <c r="AE142" s="155">
        <v>0</v>
      </c>
      <c r="AF142" s="155">
        <v>0</v>
      </c>
    </row>
    <row r="143" spans="1:32" x14ac:dyDescent="0.25">
      <c r="A143" s="2" t="s">
        <v>46</v>
      </c>
      <c r="B143" s="89">
        <v>0</v>
      </c>
      <c r="C143" s="99">
        <v>0</v>
      </c>
      <c r="D143" s="90">
        <v>0</v>
      </c>
      <c r="E143" s="90">
        <v>0</v>
      </c>
      <c r="F143" s="90">
        <v>0</v>
      </c>
      <c r="G143" s="90">
        <v>0</v>
      </c>
      <c r="I143" s="81" t="s">
        <v>147</v>
      </c>
      <c r="J143" s="157">
        <v>0</v>
      </c>
      <c r="K143" s="157">
        <v>0</v>
      </c>
      <c r="L143" s="157">
        <v>0</v>
      </c>
      <c r="M143" s="157">
        <v>0</v>
      </c>
      <c r="N143" s="157">
        <v>0</v>
      </c>
      <c r="Q143" s="162" t="s">
        <v>127</v>
      </c>
      <c r="R143" s="47">
        <f t="shared" ref="R143:W143" si="120">B143*$J$9</f>
        <v>0</v>
      </c>
      <c r="S143" s="47">
        <f t="shared" si="120"/>
        <v>0</v>
      </c>
      <c r="T143" s="47">
        <f t="shared" si="120"/>
        <v>0</v>
      </c>
      <c r="U143" s="47">
        <f t="shared" si="120"/>
        <v>0</v>
      </c>
      <c r="V143" s="47">
        <f t="shared" si="120"/>
        <v>0</v>
      </c>
      <c r="W143" s="47">
        <f t="shared" si="120"/>
        <v>0</v>
      </c>
      <c r="Y143" s="2" t="s">
        <v>46</v>
      </c>
      <c r="Z143" s="152">
        <v>0</v>
      </c>
      <c r="AA143" s="152">
        <v>0</v>
      </c>
      <c r="AB143" s="152">
        <v>0</v>
      </c>
      <c r="AC143" s="152">
        <v>0</v>
      </c>
      <c r="AD143" s="152">
        <v>0</v>
      </c>
      <c r="AE143" s="155">
        <v>0</v>
      </c>
      <c r="AF143" s="155">
        <v>0</v>
      </c>
    </row>
    <row r="144" spans="1:32" x14ac:dyDescent="0.25">
      <c r="A144" s="2" t="s">
        <v>47</v>
      </c>
      <c r="B144" s="89">
        <f t="shared" ref="B144:F144" si="121">SUM(B135:B143)</f>
        <v>630.17000000000007</v>
      </c>
      <c r="C144" s="99">
        <f t="shared" si="121"/>
        <v>630.16999999999996</v>
      </c>
      <c r="D144" s="90">
        <f t="shared" si="121"/>
        <v>630.16999999999996</v>
      </c>
      <c r="E144" s="90">
        <f t="shared" si="121"/>
        <v>630.16999999999996</v>
      </c>
      <c r="F144" s="90">
        <f t="shared" si="121"/>
        <v>630.16999999999996</v>
      </c>
      <c r="G144" s="90">
        <f t="shared" ref="G144" si="122">SUM(G135:G143)</f>
        <v>630.16999999999996</v>
      </c>
      <c r="I144" s="81" t="s">
        <v>28</v>
      </c>
      <c r="J144" s="157">
        <v>0</v>
      </c>
      <c r="K144" s="157">
        <v>0</v>
      </c>
      <c r="L144" s="157">
        <v>0</v>
      </c>
      <c r="M144" s="157">
        <v>0</v>
      </c>
      <c r="N144" s="157">
        <v>0</v>
      </c>
      <c r="Q144" s="163" t="s">
        <v>133</v>
      </c>
      <c r="R144" s="47">
        <f t="shared" ref="R144:W144" si="123">SUM(R135:R143)</f>
        <v>126.10011632679473</v>
      </c>
      <c r="S144" s="47">
        <f t="shared" si="123"/>
        <v>118.25863344126512</v>
      </c>
      <c r="T144" s="47">
        <f t="shared" si="123"/>
        <v>110.38495853219335</v>
      </c>
      <c r="U144" s="47">
        <f t="shared" si="123"/>
        <v>98.955415691962685</v>
      </c>
      <c r="V144" s="47">
        <f t="shared" si="123"/>
        <v>89.584942299301986</v>
      </c>
      <c r="W144" s="47">
        <f t="shared" si="123"/>
        <v>78.406419705888396</v>
      </c>
      <c r="Y144" s="2" t="s">
        <v>47</v>
      </c>
      <c r="Z144" s="152">
        <f>SUM(Z135:Z143)</f>
        <v>619.49499999999989</v>
      </c>
      <c r="AA144" s="152">
        <f>SUM(AA135:AA143)</f>
        <v>621.27050000000008</v>
      </c>
      <c r="AB144" s="153">
        <f>SUM(AB135:AB143)</f>
        <v>628.60454303030303</v>
      </c>
      <c r="AC144" s="153">
        <f t="shared" ref="AC144:AE144" si="124">SUM(AC135:AC143)</f>
        <v>624.12</v>
      </c>
      <c r="AD144" s="153">
        <f t="shared" si="124"/>
        <v>628.51</v>
      </c>
      <c r="AE144" s="156">
        <f t="shared" si="124"/>
        <v>631.42000000000007</v>
      </c>
      <c r="AF144" s="156">
        <f t="shared" ref="AF144" si="125">SUM(AF135:AF143)</f>
        <v>630.17000000000007</v>
      </c>
    </row>
    <row r="145" spans="1:32" x14ac:dyDescent="0.25">
      <c r="A145" s="135" t="s">
        <v>48</v>
      </c>
      <c r="B145" s="136" t="s">
        <v>94</v>
      </c>
      <c r="C145" s="135" t="s">
        <v>95</v>
      </c>
      <c r="D145" s="135" t="s">
        <v>96</v>
      </c>
      <c r="E145" s="135" t="s">
        <v>97</v>
      </c>
      <c r="F145" s="135" t="s">
        <v>98</v>
      </c>
      <c r="G145" s="135" t="s">
        <v>99</v>
      </c>
      <c r="I145" s="81" t="s">
        <v>203</v>
      </c>
      <c r="J145" s="213"/>
      <c r="K145" s="157"/>
      <c r="L145" s="157"/>
      <c r="M145" s="157"/>
      <c r="N145" s="157"/>
      <c r="Q145" s="162" t="s">
        <v>135</v>
      </c>
      <c r="R145" s="47">
        <f t="shared" ref="R145:W146" si="126">B146*$J$13</f>
        <v>41.953360005016059</v>
      </c>
      <c r="S145" s="47">
        <f t="shared" si="126"/>
        <v>37.965874452887867</v>
      </c>
      <c r="T145" s="47">
        <f t="shared" si="126"/>
        <v>34.442735647125801</v>
      </c>
      <c r="U145" s="47">
        <f t="shared" si="126"/>
        <v>29.998273931907125</v>
      </c>
      <c r="V145" s="47">
        <f t="shared" si="126"/>
        <v>25.634888632720635</v>
      </c>
      <c r="W145" s="47">
        <f t="shared" si="126"/>
        <v>20.143804092359257</v>
      </c>
      <c r="Y145" s="130" t="s">
        <v>48</v>
      </c>
      <c r="Z145" s="158" t="s">
        <v>103</v>
      </c>
      <c r="AA145" s="158" t="s">
        <v>104</v>
      </c>
      <c r="AB145" s="158" t="s">
        <v>105</v>
      </c>
      <c r="AC145" s="158" t="s">
        <v>106</v>
      </c>
      <c r="AD145" s="158" t="s">
        <v>107</v>
      </c>
      <c r="AE145" s="158" t="s">
        <v>208</v>
      </c>
      <c r="AF145" s="159" t="s">
        <v>209</v>
      </c>
    </row>
    <row r="146" spans="1:32" x14ac:dyDescent="0.25">
      <c r="A146" s="2" t="s">
        <v>38</v>
      </c>
      <c r="B146" s="25">
        <v>2896</v>
      </c>
      <c r="C146" s="99">
        <f>B146-J138*B146/(B146+B147)</f>
        <v>2620.7477160927619</v>
      </c>
      <c r="D146" s="90">
        <f>C146-K138*C146/(C146+C147)</f>
        <v>2377.5488404778639</v>
      </c>
      <c r="E146" s="90">
        <f>D146-L138*D146/(D146+D147)</f>
        <v>2070.7519325368939</v>
      </c>
      <c r="F146" s="90">
        <f>E146-M138*E146/(E146+E147)</f>
        <v>1769.5516514406186</v>
      </c>
      <c r="G146" s="90">
        <f>F146-N138*F146/(F146+F147)</f>
        <v>1390.5073787772312</v>
      </c>
      <c r="Q146" s="169" t="s">
        <v>137</v>
      </c>
      <c r="R146" s="47">
        <f t="shared" si="126"/>
        <v>40.504694258986497</v>
      </c>
      <c r="S146" s="47">
        <f t="shared" si="126"/>
        <v>36.654898125094775</v>
      </c>
      <c r="T146" s="47">
        <f t="shared" si="126"/>
        <v>33.253414664835539</v>
      </c>
      <c r="U146" s="47">
        <f t="shared" si="126"/>
        <v>28.962421931495964</v>
      </c>
      <c r="V146" s="47">
        <f t="shared" si="126"/>
        <v>24.74970601418746</v>
      </c>
      <c r="W146" s="47">
        <f t="shared" si="126"/>
        <v>19.448230746628617</v>
      </c>
      <c r="Y146" s="2" t="s">
        <v>38</v>
      </c>
      <c r="Z146" s="154">
        <v>5812</v>
      </c>
      <c r="AA146" s="154">
        <v>5389</v>
      </c>
      <c r="AB146" s="154">
        <v>4685</v>
      </c>
      <c r="AC146" s="154">
        <v>4061</v>
      </c>
      <c r="AD146" s="154">
        <v>3402</v>
      </c>
      <c r="AE146" s="157">
        <v>3214</v>
      </c>
      <c r="AF146" s="157">
        <v>2896</v>
      </c>
    </row>
    <row r="147" spans="1:32" x14ac:dyDescent="0.25">
      <c r="A147" s="2" t="s">
        <v>39</v>
      </c>
      <c r="B147" s="25">
        <v>2796</v>
      </c>
      <c r="C147" s="99">
        <f>B147-J138*B147/(B146+B147)</f>
        <v>2530.2522839072381</v>
      </c>
      <c r="D147" s="90">
        <f>C147-K138*C147/(C146+C147)</f>
        <v>2295.4511595221361</v>
      </c>
      <c r="E147" s="90">
        <f>D147-L138*D147/(D146+D147)</f>
        <v>1999.2480674631058</v>
      </c>
      <c r="F147" s="90">
        <f>E147-M138*E147/(E146+E147)</f>
        <v>1708.4483485593814</v>
      </c>
      <c r="G147" s="90">
        <f>F147-N138*F147/(F146+F147)</f>
        <v>1342.4926212227688</v>
      </c>
      <c r="Q147" s="162" t="s">
        <v>138</v>
      </c>
      <c r="R147" s="47">
        <f t="shared" ref="R147:W148" si="127">B148*$J$14</f>
        <v>0</v>
      </c>
      <c r="S147" s="47">
        <f t="shared" si="127"/>
        <v>0</v>
      </c>
      <c r="T147" s="47">
        <f t="shared" si="127"/>
        <v>0</v>
      </c>
      <c r="U147" s="47">
        <f t="shared" si="127"/>
        <v>0</v>
      </c>
      <c r="V147" s="47">
        <f t="shared" si="127"/>
        <v>0</v>
      </c>
      <c r="W147" s="47">
        <f t="shared" si="127"/>
        <v>0</v>
      </c>
      <c r="Y147" s="2" t="s">
        <v>39</v>
      </c>
      <c r="Z147" s="154">
        <v>4114</v>
      </c>
      <c r="AA147" s="154">
        <v>3765</v>
      </c>
      <c r="AB147" s="154">
        <v>3452</v>
      </c>
      <c r="AC147" s="154">
        <v>3340</v>
      </c>
      <c r="AD147" s="154">
        <v>3021</v>
      </c>
      <c r="AE147" s="157">
        <v>2938</v>
      </c>
      <c r="AF147" s="157">
        <v>2796</v>
      </c>
    </row>
    <row r="148" spans="1:32" x14ac:dyDescent="0.25">
      <c r="A148" s="2" t="s">
        <v>40</v>
      </c>
      <c r="B148" s="25">
        <v>0</v>
      </c>
      <c r="C148" s="99">
        <f t="shared" ref="C148:G149" si="128">B148</f>
        <v>0</v>
      </c>
      <c r="D148" s="90">
        <f t="shared" si="128"/>
        <v>0</v>
      </c>
      <c r="E148" s="90">
        <f t="shared" si="128"/>
        <v>0</v>
      </c>
      <c r="F148" s="90">
        <f t="shared" si="128"/>
        <v>0</v>
      </c>
      <c r="G148" s="90">
        <f t="shared" si="128"/>
        <v>0</v>
      </c>
      <c r="Q148" s="169" t="s">
        <v>139</v>
      </c>
      <c r="R148" s="47">
        <f t="shared" si="127"/>
        <v>1.0776531601118067</v>
      </c>
      <c r="S148" s="47">
        <f t="shared" si="127"/>
        <v>1.0776531601118067</v>
      </c>
      <c r="T148" s="47">
        <f t="shared" si="127"/>
        <v>1.0776531601118067</v>
      </c>
      <c r="U148" s="47">
        <f t="shared" si="127"/>
        <v>1.0776531601118067</v>
      </c>
      <c r="V148" s="47">
        <f t="shared" si="127"/>
        <v>1.0776531601118067</v>
      </c>
      <c r="W148" s="47">
        <f t="shared" si="127"/>
        <v>1.0776531601118067</v>
      </c>
      <c r="Y148" s="81" t="s">
        <v>40</v>
      </c>
      <c r="Z148" s="154">
        <v>11</v>
      </c>
      <c r="AA148" s="154">
        <v>9</v>
      </c>
      <c r="AB148" s="154">
        <v>0</v>
      </c>
      <c r="AC148" s="154">
        <v>0</v>
      </c>
      <c r="AD148" s="154">
        <v>0</v>
      </c>
      <c r="AE148" s="157">
        <v>0</v>
      </c>
      <c r="AF148" s="157">
        <v>0</v>
      </c>
    </row>
    <row r="149" spans="1:32" x14ac:dyDescent="0.25">
      <c r="A149" s="2" t="s">
        <v>41</v>
      </c>
      <c r="B149" s="25">
        <v>832</v>
      </c>
      <c r="C149" s="99">
        <f t="shared" si="128"/>
        <v>832</v>
      </c>
      <c r="D149" s="90">
        <f t="shared" si="128"/>
        <v>832</v>
      </c>
      <c r="E149" s="90">
        <f t="shared" si="128"/>
        <v>832</v>
      </c>
      <c r="F149" s="90">
        <f t="shared" si="128"/>
        <v>832</v>
      </c>
      <c r="G149" s="90">
        <f t="shared" si="128"/>
        <v>832</v>
      </c>
      <c r="Q149" s="162" t="s">
        <v>140</v>
      </c>
      <c r="R149" s="47">
        <f t="shared" ref="R149:W149" si="129">B150*$J$15</f>
        <v>7.00247825988414</v>
      </c>
      <c r="S149" s="47">
        <f t="shared" si="129"/>
        <v>7.1447580142068814</v>
      </c>
      <c r="T149" s="47">
        <f t="shared" si="129"/>
        <v>7.2704691464920401</v>
      </c>
      <c r="U149" s="47">
        <f t="shared" si="129"/>
        <v>7.4290545288517684</v>
      </c>
      <c r="V149" s="47">
        <f t="shared" si="129"/>
        <v>7.5847469772049347</v>
      </c>
      <c r="W149" s="47">
        <f t="shared" si="129"/>
        <v>7.7806775076493757</v>
      </c>
      <c r="Y149" s="2" t="s">
        <v>41</v>
      </c>
      <c r="Z149" s="154">
        <v>933</v>
      </c>
      <c r="AA149" s="154">
        <v>904</v>
      </c>
      <c r="AB149" s="154">
        <v>893</v>
      </c>
      <c r="AC149" s="154">
        <v>866</v>
      </c>
      <c r="AD149" s="154">
        <v>816</v>
      </c>
      <c r="AE149" s="157">
        <v>896</v>
      </c>
      <c r="AF149" s="157">
        <v>832</v>
      </c>
    </row>
    <row r="150" spans="1:32" x14ac:dyDescent="0.25">
      <c r="A150" s="2" t="s">
        <v>42</v>
      </c>
      <c r="B150" s="25">
        <v>26626</v>
      </c>
      <c r="C150" s="99">
        <f>B150+J138+J144</f>
        <v>27167</v>
      </c>
      <c r="D150" s="90">
        <f>C150+K138+K144</f>
        <v>27645</v>
      </c>
      <c r="E150" s="90">
        <f>D150+L138+L144</f>
        <v>28248</v>
      </c>
      <c r="F150" s="90">
        <f>E150+M138+M144</f>
        <v>28840</v>
      </c>
      <c r="G150" s="90">
        <f>F150+N138+N144</f>
        <v>29585</v>
      </c>
      <c r="Q150" s="169" t="s">
        <v>142</v>
      </c>
      <c r="R150" s="47">
        <f t="shared" ref="R150:W151" si="130">B151*$J$13</f>
        <v>0</v>
      </c>
      <c r="S150" s="47">
        <f t="shared" si="130"/>
        <v>0</v>
      </c>
      <c r="T150" s="47">
        <f t="shared" si="130"/>
        <v>0</v>
      </c>
      <c r="U150" s="47">
        <f t="shared" si="130"/>
        <v>0</v>
      </c>
      <c r="V150" s="47">
        <f t="shared" si="130"/>
        <v>0</v>
      </c>
      <c r="W150" s="47">
        <f t="shared" si="130"/>
        <v>0</v>
      </c>
      <c r="Y150" s="2" t="s">
        <v>42</v>
      </c>
      <c r="Z150" s="154">
        <v>25954</v>
      </c>
      <c r="AA150" s="154">
        <v>26886</v>
      </c>
      <c r="AB150" s="154">
        <v>27871</v>
      </c>
      <c r="AC150" s="154">
        <v>28626</v>
      </c>
      <c r="AD150" s="154">
        <v>29832</v>
      </c>
      <c r="AE150" s="157">
        <v>30068</v>
      </c>
      <c r="AF150" s="157">
        <v>26626</v>
      </c>
    </row>
    <row r="151" spans="1:32" x14ac:dyDescent="0.25">
      <c r="A151" s="2" t="s">
        <v>43</v>
      </c>
      <c r="B151" s="25">
        <v>0</v>
      </c>
      <c r="C151" s="99">
        <v>0</v>
      </c>
      <c r="D151" s="90">
        <v>0</v>
      </c>
      <c r="E151" s="90">
        <v>0</v>
      </c>
      <c r="F151" s="90">
        <v>0</v>
      </c>
      <c r="G151" s="90">
        <v>0</v>
      </c>
      <c r="Q151" s="162" t="s">
        <v>143</v>
      </c>
      <c r="R151" s="47">
        <f t="shared" si="130"/>
        <v>0</v>
      </c>
      <c r="S151" s="47">
        <f t="shared" si="130"/>
        <v>0</v>
      </c>
      <c r="T151" s="47">
        <f t="shared" si="130"/>
        <v>0</v>
      </c>
      <c r="U151" s="47">
        <f t="shared" si="130"/>
        <v>0</v>
      </c>
      <c r="V151" s="47">
        <f t="shared" si="130"/>
        <v>0</v>
      </c>
      <c r="W151" s="47">
        <f t="shared" si="130"/>
        <v>0</v>
      </c>
      <c r="Y151" s="2" t="s">
        <v>43</v>
      </c>
      <c r="Z151" s="154">
        <v>0</v>
      </c>
      <c r="AA151" s="154">
        <v>0</v>
      </c>
      <c r="AB151" s="154">
        <v>0</v>
      </c>
      <c r="AC151" s="154">
        <v>0</v>
      </c>
      <c r="AD151" s="154">
        <v>0</v>
      </c>
      <c r="AE151" s="157">
        <v>0</v>
      </c>
      <c r="AF151" s="157">
        <v>0</v>
      </c>
    </row>
    <row r="152" spans="1:32" x14ac:dyDescent="0.25">
      <c r="A152" s="2" t="s">
        <v>44</v>
      </c>
      <c r="B152" s="25">
        <v>0</v>
      </c>
      <c r="C152" s="99">
        <v>0</v>
      </c>
      <c r="D152" s="90">
        <v>0</v>
      </c>
      <c r="E152" s="90">
        <v>0</v>
      </c>
      <c r="F152" s="90">
        <v>0</v>
      </c>
      <c r="G152" s="90">
        <v>0</v>
      </c>
      <c r="Q152" s="169" t="s">
        <v>145</v>
      </c>
      <c r="R152" s="47">
        <f t="shared" ref="R152:W152" si="131">B153*$J$16</f>
        <v>0</v>
      </c>
      <c r="S152" s="47">
        <f t="shared" si="131"/>
        <v>0</v>
      </c>
      <c r="T152" s="47">
        <f t="shared" si="131"/>
        <v>0</v>
      </c>
      <c r="U152" s="47">
        <f t="shared" si="131"/>
        <v>0</v>
      </c>
      <c r="V152" s="47">
        <f t="shared" si="131"/>
        <v>0</v>
      </c>
      <c r="W152" s="47">
        <f t="shared" si="131"/>
        <v>0</v>
      </c>
      <c r="Y152" s="2" t="s">
        <v>44</v>
      </c>
      <c r="Z152" s="154">
        <v>0</v>
      </c>
      <c r="AA152" s="154">
        <v>0</v>
      </c>
      <c r="AB152" s="154">
        <v>0</v>
      </c>
      <c r="AC152" s="154">
        <v>0</v>
      </c>
      <c r="AD152" s="154">
        <v>0</v>
      </c>
      <c r="AE152" s="157">
        <v>0</v>
      </c>
      <c r="AF152" s="157">
        <v>0</v>
      </c>
    </row>
    <row r="153" spans="1:32" x14ac:dyDescent="0.25">
      <c r="A153" s="2" t="s">
        <v>45</v>
      </c>
      <c r="B153" s="25">
        <v>0</v>
      </c>
      <c r="C153" s="99">
        <v>0</v>
      </c>
      <c r="D153" s="90">
        <v>0</v>
      </c>
      <c r="E153" s="90">
        <v>0</v>
      </c>
      <c r="F153" s="90">
        <v>0</v>
      </c>
      <c r="G153" s="90">
        <v>0</v>
      </c>
      <c r="Q153" s="162" t="s">
        <v>146</v>
      </c>
      <c r="R153" s="47">
        <f t="shared" ref="R153:W153" si="132">B154*$J$13</f>
        <v>0</v>
      </c>
      <c r="S153" s="47">
        <f t="shared" si="132"/>
        <v>0</v>
      </c>
      <c r="T153" s="47">
        <f t="shared" si="132"/>
        <v>0</v>
      </c>
      <c r="U153" s="47">
        <f t="shared" si="132"/>
        <v>0</v>
      </c>
      <c r="V153" s="47">
        <f t="shared" si="132"/>
        <v>0</v>
      </c>
      <c r="W153" s="47">
        <f t="shared" si="132"/>
        <v>0</v>
      </c>
      <c r="Y153" s="2" t="s">
        <v>45</v>
      </c>
      <c r="Z153" s="154">
        <v>0</v>
      </c>
      <c r="AA153" s="154">
        <v>0</v>
      </c>
      <c r="AB153" s="154">
        <v>0</v>
      </c>
      <c r="AC153" s="154">
        <v>0</v>
      </c>
      <c r="AD153" s="154">
        <v>0</v>
      </c>
      <c r="AE153" s="157">
        <v>0</v>
      </c>
      <c r="AF153" s="157">
        <v>0</v>
      </c>
    </row>
    <row r="154" spans="1:32" x14ac:dyDescent="0.25">
      <c r="A154" s="2" t="s">
        <v>46</v>
      </c>
      <c r="B154" s="25">
        <v>0</v>
      </c>
      <c r="C154" s="99">
        <f>B154-J138*B154/(B146+B147+B154)</f>
        <v>0</v>
      </c>
      <c r="D154" s="90">
        <f>C154-K138*C154/(C146+C147+C154)</f>
        <v>0</v>
      </c>
      <c r="E154" s="90">
        <f>D154-L138*D154/(D146+D147+D154)</f>
        <v>0</v>
      </c>
      <c r="F154" s="90">
        <f>E154-M138*E154/(E146+E147+E154)</f>
        <v>0</v>
      </c>
      <c r="G154" s="90">
        <f>F154-N138*F154/(F146+F147+F154)</f>
        <v>0</v>
      </c>
      <c r="Q154" s="169" t="s">
        <v>148</v>
      </c>
      <c r="R154" s="47">
        <f t="shared" ref="R154" si="133">SUM(R145:R153)</f>
        <v>90.538185683998506</v>
      </c>
      <c r="S154" s="47">
        <f t="shared" ref="S154:W154" si="134">SUM(S145:S153)</f>
        <v>82.843183752301343</v>
      </c>
      <c r="T154" s="47">
        <f t="shared" si="134"/>
        <v>76.044272618565174</v>
      </c>
      <c r="U154" s="47">
        <f t="shared" si="134"/>
        <v>67.467403552366662</v>
      </c>
      <c r="V154" s="47">
        <f t="shared" si="134"/>
        <v>59.046994784224843</v>
      </c>
      <c r="W154" s="47">
        <f t="shared" si="134"/>
        <v>48.450365506749051</v>
      </c>
      <c r="Y154" s="2" t="s">
        <v>46</v>
      </c>
      <c r="Z154" s="154">
        <v>4</v>
      </c>
      <c r="AA154" s="154">
        <v>7</v>
      </c>
      <c r="AB154" s="154">
        <v>1</v>
      </c>
      <c r="AC154" s="154">
        <v>30</v>
      </c>
      <c r="AD154" s="154">
        <v>20</v>
      </c>
      <c r="AE154" s="157">
        <v>0</v>
      </c>
      <c r="AF154" s="157">
        <v>0</v>
      </c>
    </row>
    <row r="155" spans="1:32" x14ac:dyDescent="0.25">
      <c r="A155" s="2" t="s">
        <v>50</v>
      </c>
      <c r="B155" s="25">
        <f t="shared" ref="B155:F155" si="135">SUM(B146:B154)</f>
        <v>33150</v>
      </c>
      <c r="C155" s="99">
        <f t="shared" si="135"/>
        <v>33150</v>
      </c>
      <c r="D155" s="90">
        <f t="shared" si="135"/>
        <v>33150</v>
      </c>
      <c r="E155" s="90">
        <f t="shared" si="135"/>
        <v>33150</v>
      </c>
      <c r="F155" s="90">
        <f t="shared" si="135"/>
        <v>33150</v>
      </c>
      <c r="G155" s="90">
        <f t="shared" ref="G155" si="136">SUM(G146:G154)</f>
        <v>33150</v>
      </c>
      <c r="Q155" s="166" t="s">
        <v>141</v>
      </c>
      <c r="R155" s="167">
        <f t="shared" ref="R155:W155" si="137">R144+R154</f>
        <v>216.63830201079324</v>
      </c>
      <c r="S155" s="167">
        <f t="shared" si="137"/>
        <v>201.10181719356646</v>
      </c>
      <c r="T155" s="167">
        <f t="shared" si="137"/>
        <v>186.42923115075854</v>
      </c>
      <c r="U155" s="167">
        <f t="shared" si="137"/>
        <v>166.42281924432933</v>
      </c>
      <c r="V155" s="167">
        <f t="shared" si="137"/>
        <v>148.63193708352682</v>
      </c>
      <c r="W155" s="168">
        <f t="shared" si="137"/>
        <v>126.85678521263745</v>
      </c>
      <c r="Y155" s="2" t="s">
        <v>50</v>
      </c>
      <c r="Z155" s="2">
        <f>SUM(Z146:Z154)</f>
        <v>36828</v>
      </c>
      <c r="AA155" s="2">
        <f>SUM(AA146:AA154)</f>
        <v>36960</v>
      </c>
      <c r="AB155" s="2">
        <f>SUM(AB146:AB154)</f>
        <v>36902</v>
      </c>
      <c r="AC155" s="2">
        <f t="shared" ref="AC155:AE155" si="138">SUM(AC146:AC154)</f>
        <v>36923</v>
      </c>
      <c r="AD155" s="2">
        <f t="shared" si="138"/>
        <v>37091</v>
      </c>
      <c r="AE155" s="2">
        <f t="shared" si="138"/>
        <v>37116</v>
      </c>
      <c r="AF155" s="2">
        <f t="shared" ref="AF155" si="139">SUM(AF146:AF154)</f>
        <v>33150</v>
      </c>
    </row>
    <row r="156" spans="1:32" x14ac:dyDescent="0.25">
      <c r="A156" s="2" t="s">
        <v>203</v>
      </c>
      <c r="B156" s="25"/>
      <c r="C156" s="99"/>
      <c r="D156" s="90"/>
      <c r="E156" s="90"/>
      <c r="F156" s="90"/>
      <c r="G156" s="90"/>
      <c r="Q156" s="2" t="s">
        <v>203</v>
      </c>
      <c r="R156" s="210"/>
      <c r="S156" s="210"/>
      <c r="T156" s="210"/>
      <c r="U156" s="210"/>
      <c r="V156" s="210"/>
      <c r="W156" s="210"/>
      <c r="Y156" s="59" t="s">
        <v>203</v>
      </c>
      <c r="Z156" s="154"/>
      <c r="AA156" s="154"/>
      <c r="AB156" s="154"/>
      <c r="AC156" s="154"/>
      <c r="AD156" s="154"/>
      <c r="AE156" s="157"/>
      <c r="AF156" s="157"/>
    </row>
    <row r="157" spans="1:32" x14ac:dyDescent="0.25">
      <c r="Y157" s="150"/>
    </row>
    <row r="158" spans="1:32" x14ac:dyDescent="0.25">
      <c r="Y158" s="150"/>
    </row>
    <row r="159" spans="1:32" x14ac:dyDescent="0.25">
      <c r="A159" s="18" t="s">
        <v>180</v>
      </c>
      <c r="B159" s="129"/>
      <c r="I159" s="18" t="s">
        <v>181</v>
      </c>
      <c r="Q159" s="18" t="s">
        <v>181</v>
      </c>
      <c r="R159" s="18"/>
      <c r="Y159" s="18" t="s">
        <v>181</v>
      </c>
      <c r="Z159" s="19"/>
      <c r="AA159" s="19"/>
      <c r="AB159" s="19"/>
      <c r="AC159" s="19"/>
      <c r="AD159" s="19"/>
      <c r="AE159" s="19"/>
      <c r="AF159" s="19"/>
    </row>
    <row r="160" spans="1:32" x14ac:dyDescent="0.25">
      <c r="A160" s="135" t="s">
        <v>34</v>
      </c>
      <c r="B160" s="136" t="s">
        <v>94</v>
      </c>
      <c r="C160" s="135" t="s">
        <v>95</v>
      </c>
      <c r="D160" s="135" t="s">
        <v>96</v>
      </c>
      <c r="E160" s="135" t="s">
        <v>97</v>
      </c>
      <c r="F160" s="135" t="s">
        <v>98</v>
      </c>
      <c r="G160" s="135" t="s">
        <v>99</v>
      </c>
      <c r="I160" s="143" t="s">
        <v>182</v>
      </c>
      <c r="J160" s="81"/>
      <c r="K160" s="81"/>
      <c r="L160" s="81"/>
      <c r="M160" s="81"/>
      <c r="N160" s="81"/>
      <c r="O160" s="81"/>
      <c r="Q160" s="135" t="s">
        <v>101</v>
      </c>
      <c r="R160" s="164" t="s">
        <v>102</v>
      </c>
      <c r="S160" s="164" t="s">
        <v>69</v>
      </c>
      <c r="T160" s="164" t="s">
        <v>70</v>
      </c>
      <c r="U160" s="164" t="s">
        <v>71</v>
      </c>
      <c r="V160" s="164" t="s">
        <v>72</v>
      </c>
      <c r="W160" s="165" t="s">
        <v>73</v>
      </c>
      <c r="Y160" s="130" t="s">
        <v>34</v>
      </c>
      <c r="Z160" s="158" t="s">
        <v>103</v>
      </c>
      <c r="AA160" s="158" t="s">
        <v>104</v>
      </c>
      <c r="AB160" s="158" t="s">
        <v>105</v>
      </c>
      <c r="AC160" s="158" t="s">
        <v>106</v>
      </c>
      <c r="AD160" s="158" t="s">
        <v>107</v>
      </c>
      <c r="AE160" s="158" t="s">
        <v>108</v>
      </c>
      <c r="AF160" s="159" t="s">
        <v>109</v>
      </c>
    </row>
    <row r="161" spans="1:32" x14ac:dyDescent="0.25">
      <c r="A161" s="2" t="s">
        <v>38</v>
      </c>
      <c r="B161" s="89">
        <v>106.44999999999999</v>
      </c>
      <c r="C161" s="99">
        <f>B161-J164*B161/(B161+B162)</f>
        <v>99.011590621767596</v>
      </c>
      <c r="D161" s="90">
        <f>C161-K164*C161/(C161+C162)</f>
        <v>91.573181243535203</v>
      </c>
      <c r="E161" s="90">
        <f>D161-L164*D161/(D161+D162)</f>
        <v>84.13477186530281</v>
      </c>
      <c r="F161" s="90">
        <f>E161-M164*E161/(E161+E162)</f>
        <v>76.696362487070417</v>
      </c>
      <c r="G161" s="90">
        <f>F161-N164*F161/(F161+F162)</f>
        <v>69.257953108838024</v>
      </c>
      <c r="I161" s="174" t="s">
        <v>110</v>
      </c>
      <c r="J161" s="131" t="s">
        <v>69</v>
      </c>
      <c r="K161" s="131" t="s">
        <v>70</v>
      </c>
      <c r="L161" s="131" t="s">
        <v>71</v>
      </c>
      <c r="M161" s="131" t="s">
        <v>72</v>
      </c>
      <c r="N161" s="131" t="s">
        <v>73</v>
      </c>
      <c r="O161" s="81"/>
      <c r="P161" s="176"/>
      <c r="Q161" s="162" t="s">
        <v>111</v>
      </c>
      <c r="R161" s="47">
        <f t="shared" ref="R161:W162" si="140">B161*$J$9</f>
        <v>91.688006379938088</v>
      </c>
      <c r="S161" s="47">
        <f t="shared" si="140"/>
        <v>85.281121208233415</v>
      </c>
      <c r="T161" s="47">
        <f t="shared" si="140"/>
        <v>78.874236036528728</v>
      </c>
      <c r="U161" s="47">
        <f t="shared" si="140"/>
        <v>72.467350864824056</v>
      </c>
      <c r="V161" s="47">
        <f t="shared" si="140"/>
        <v>66.060465693119369</v>
      </c>
      <c r="W161" s="47">
        <f t="shared" si="140"/>
        <v>59.653580521414696</v>
      </c>
      <c r="Y161" s="2" t="s">
        <v>38</v>
      </c>
      <c r="Z161" s="96">
        <v>248</v>
      </c>
      <c r="AA161" s="96">
        <v>232</v>
      </c>
      <c r="AB161" s="96">
        <v>214</v>
      </c>
      <c r="AC161" s="96">
        <v>190.82</v>
      </c>
      <c r="AD161" s="96">
        <v>163.6</v>
      </c>
      <c r="AE161" s="96">
        <v>134.30000000000001</v>
      </c>
      <c r="AF161" s="145">
        <v>106.44999999999999</v>
      </c>
    </row>
    <row r="162" spans="1:32" x14ac:dyDescent="0.25">
      <c r="A162" s="2" t="s">
        <v>39</v>
      </c>
      <c r="B162" s="89">
        <v>328.6</v>
      </c>
      <c r="C162" s="99">
        <f>B162-J164*B162/(B161+B162)</f>
        <v>305.63840937823238</v>
      </c>
      <c r="D162" s="90">
        <f>C162-K164*C162/(C161+C162)</f>
        <v>282.67681875646474</v>
      </c>
      <c r="E162" s="90">
        <f>D162-L164*D162/(D161+D162)</f>
        <v>259.7152281346971</v>
      </c>
      <c r="F162" s="90">
        <f>E162-M164*E162/(E161+E162)</f>
        <v>236.75363751292949</v>
      </c>
      <c r="G162" s="90">
        <f>F162-N164*F162/(F161+F162)</f>
        <v>213.79204689116187</v>
      </c>
      <c r="H162" s="95"/>
      <c r="I162" s="81" t="s">
        <v>152</v>
      </c>
      <c r="J162" s="81">
        <v>45</v>
      </c>
      <c r="K162" s="81">
        <v>45</v>
      </c>
      <c r="L162" s="81">
        <v>45</v>
      </c>
      <c r="M162" s="81">
        <v>45</v>
      </c>
      <c r="N162" s="81">
        <v>45</v>
      </c>
      <c r="O162" s="177"/>
      <c r="P162" s="176"/>
      <c r="Q162" s="163" t="s">
        <v>113</v>
      </c>
      <c r="R162" s="47">
        <f t="shared" si="140"/>
        <v>283.03127192529507</v>
      </c>
      <c r="S162" s="47">
        <f t="shared" si="140"/>
        <v>263.25388848309535</v>
      </c>
      <c r="T162" s="47">
        <f t="shared" si="140"/>
        <v>243.47650504089569</v>
      </c>
      <c r="U162" s="47">
        <f t="shared" si="140"/>
        <v>223.69912159869597</v>
      </c>
      <c r="V162" s="47">
        <f t="shared" si="140"/>
        <v>203.9217381564963</v>
      </c>
      <c r="W162" s="47">
        <f t="shared" si="140"/>
        <v>184.14435471429661</v>
      </c>
      <c r="Y162" s="2" t="s">
        <v>39</v>
      </c>
      <c r="Z162" s="96">
        <v>390</v>
      </c>
      <c r="AA162" s="96">
        <v>376</v>
      </c>
      <c r="AB162" s="96">
        <v>369</v>
      </c>
      <c r="AC162" s="96">
        <v>359.68999999999994</v>
      </c>
      <c r="AD162" s="96">
        <v>352.6</v>
      </c>
      <c r="AE162" s="96">
        <v>340.28</v>
      </c>
      <c r="AF162" s="145">
        <v>328.6</v>
      </c>
    </row>
    <row r="163" spans="1:32" x14ac:dyDescent="0.25">
      <c r="A163" s="2" t="s">
        <v>40</v>
      </c>
      <c r="B163" s="89">
        <v>0</v>
      </c>
      <c r="C163" s="99">
        <v>0</v>
      </c>
      <c r="D163" s="90">
        <v>0</v>
      </c>
      <c r="E163" s="90">
        <v>0</v>
      </c>
      <c r="F163" s="90">
        <v>0</v>
      </c>
      <c r="G163" s="90">
        <v>0</v>
      </c>
      <c r="H163" s="95"/>
      <c r="I163" s="81" t="s">
        <v>210</v>
      </c>
      <c r="J163" s="178">
        <f>$N$171</f>
        <v>14.6</v>
      </c>
      <c r="K163" s="178">
        <f>$N$171</f>
        <v>14.6</v>
      </c>
      <c r="L163" s="178">
        <f>$N$172</f>
        <v>14.6</v>
      </c>
      <c r="M163" s="178">
        <f>$N$172</f>
        <v>14.6</v>
      </c>
      <c r="N163" s="178">
        <f>$N$172</f>
        <v>14.6</v>
      </c>
      <c r="O163" s="177"/>
      <c r="Q163" s="162" t="s">
        <v>115</v>
      </c>
      <c r="R163" s="47">
        <f t="shared" ref="R163:W164" si="141">B163*$J$10</f>
        <v>0</v>
      </c>
      <c r="S163" s="47">
        <f t="shared" si="141"/>
        <v>0</v>
      </c>
      <c r="T163" s="47">
        <f t="shared" si="141"/>
        <v>0</v>
      </c>
      <c r="U163" s="47">
        <f t="shared" si="141"/>
        <v>0</v>
      </c>
      <c r="V163" s="47">
        <f t="shared" si="141"/>
        <v>0</v>
      </c>
      <c r="W163" s="47">
        <f t="shared" si="141"/>
        <v>0</v>
      </c>
      <c r="Y163" s="81" t="s">
        <v>40</v>
      </c>
      <c r="Z163" s="96">
        <v>0</v>
      </c>
      <c r="AA163" s="96">
        <v>0</v>
      </c>
      <c r="AB163" s="96">
        <v>0</v>
      </c>
      <c r="AC163" s="96">
        <v>0</v>
      </c>
      <c r="AD163" s="96">
        <v>0</v>
      </c>
      <c r="AE163" s="96">
        <v>0</v>
      </c>
      <c r="AF163" s="145">
        <v>0</v>
      </c>
    </row>
    <row r="164" spans="1:32" x14ac:dyDescent="0.25">
      <c r="A164" s="2" t="s">
        <v>41</v>
      </c>
      <c r="B164" s="89">
        <v>372.52</v>
      </c>
      <c r="C164" s="99">
        <f>B164</f>
        <v>372.52</v>
      </c>
      <c r="D164" s="90">
        <f>C164</f>
        <v>372.52</v>
      </c>
      <c r="E164" s="90">
        <f>D164</f>
        <v>372.52</v>
      </c>
      <c r="F164" s="90">
        <f>E164</f>
        <v>372.52</v>
      </c>
      <c r="G164" s="90">
        <f>F164</f>
        <v>372.52</v>
      </c>
      <c r="H164" s="95"/>
      <c r="I164" s="81" t="s">
        <v>211</v>
      </c>
      <c r="J164" s="178">
        <f>$O$171</f>
        <v>30.4</v>
      </c>
      <c r="K164" s="178">
        <f>$O$171</f>
        <v>30.4</v>
      </c>
      <c r="L164" s="178">
        <f>$O$172</f>
        <v>30.4</v>
      </c>
      <c r="M164" s="178">
        <f>$O$172</f>
        <v>30.4</v>
      </c>
      <c r="N164" s="178">
        <f>$O$172</f>
        <v>30.4</v>
      </c>
      <c r="O164" s="81"/>
      <c r="Q164" s="163" t="s">
        <v>117</v>
      </c>
      <c r="R164" s="47">
        <f t="shared" si="141"/>
        <v>36.040907170209813</v>
      </c>
      <c r="S164" s="47">
        <f t="shared" si="141"/>
        <v>36.040907170209813</v>
      </c>
      <c r="T164" s="47">
        <f t="shared" si="141"/>
        <v>36.040907170209813</v>
      </c>
      <c r="U164" s="47">
        <f t="shared" si="141"/>
        <v>36.040907170209813</v>
      </c>
      <c r="V164" s="47">
        <f t="shared" si="141"/>
        <v>36.040907170209813</v>
      </c>
      <c r="W164" s="47">
        <f t="shared" si="141"/>
        <v>36.040907170209813</v>
      </c>
      <c r="Y164" s="2" t="s">
        <v>41</v>
      </c>
      <c r="Z164" s="96">
        <v>377</v>
      </c>
      <c r="AA164" s="96">
        <v>377</v>
      </c>
      <c r="AB164" s="96">
        <v>376</v>
      </c>
      <c r="AC164" s="96">
        <v>374.91</v>
      </c>
      <c r="AD164" s="96">
        <v>374.29999999999995</v>
      </c>
      <c r="AE164" s="96">
        <v>373.30999999999995</v>
      </c>
      <c r="AF164" s="145">
        <v>372.52</v>
      </c>
    </row>
    <row r="165" spans="1:32" x14ac:dyDescent="0.25">
      <c r="A165" s="2" t="s">
        <v>42</v>
      </c>
      <c r="B165" s="89">
        <v>2306.4700000000003</v>
      </c>
      <c r="C165" s="99">
        <f>B165+J162+J179</f>
        <v>2351.4700000000003</v>
      </c>
      <c r="D165" s="90">
        <f>C165+K162+K179</f>
        <v>2396.4700000000003</v>
      </c>
      <c r="E165" s="90">
        <f>D165+L162+L179</f>
        <v>2441.4700000000003</v>
      </c>
      <c r="F165" s="90">
        <f>E165+M162+M179</f>
        <v>2486.4700000000003</v>
      </c>
      <c r="G165" s="90">
        <f>F165+N162+N179</f>
        <v>2531.4700000000003</v>
      </c>
      <c r="H165" s="104"/>
      <c r="I165" s="81" t="s">
        <v>116</v>
      </c>
      <c r="J165" s="81">
        <v>3000</v>
      </c>
      <c r="K165" s="81">
        <v>3000</v>
      </c>
      <c r="L165" s="81">
        <v>3000</v>
      </c>
      <c r="M165" s="81">
        <v>3000</v>
      </c>
      <c r="N165" s="81">
        <v>3000</v>
      </c>
      <c r="O165" s="81"/>
      <c r="Q165" s="162" t="s">
        <v>119</v>
      </c>
      <c r="R165" s="47">
        <f t="shared" ref="R165:W165" si="142">B165*$J$11</f>
        <v>66.535561962305181</v>
      </c>
      <c r="S165" s="47">
        <f t="shared" si="142"/>
        <v>67.833692997308333</v>
      </c>
      <c r="T165" s="47">
        <f t="shared" si="142"/>
        <v>69.131824032311499</v>
      </c>
      <c r="U165" s="47">
        <f t="shared" si="142"/>
        <v>70.429955067314651</v>
      </c>
      <c r="V165" s="47">
        <f t="shared" si="142"/>
        <v>71.728086102317803</v>
      </c>
      <c r="W165" s="47">
        <f t="shared" si="142"/>
        <v>73.02621713732097</v>
      </c>
      <c r="Y165" s="2" t="s">
        <v>42</v>
      </c>
      <c r="Z165" s="96">
        <v>1960</v>
      </c>
      <c r="AA165" s="96">
        <v>2018</v>
      </c>
      <c r="AB165" s="96">
        <v>2069</v>
      </c>
      <c r="AC165" s="96">
        <v>2124.4500000000003</v>
      </c>
      <c r="AD165" s="96">
        <v>2175.7799999999997</v>
      </c>
      <c r="AE165" s="96">
        <v>2245.6000000000004</v>
      </c>
      <c r="AF165" s="145">
        <v>2306.4700000000003</v>
      </c>
    </row>
    <row r="166" spans="1:32" x14ac:dyDescent="0.25">
      <c r="A166" s="2" t="s">
        <v>43</v>
      </c>
      <c r="B166" s="89">
        <v>213.5</v>
      </c>
      <c r="C166" s="99">
        <f>B166-J163</f>
        <v>198.9</v>
      </c>
      <c r="D166" s="90">
        <f>C166-K163</f>
        <v>184.3</v>
      </c>
      <c r="E166" s="90">
        <f>D166-L163</f>
        <v>169.70000000000002</v>
      </c>
      <c r="F166" s="90">
        <f>E166-M163</f>
        <v>155.10000000000002</v>
      </c>
      <c r="G166" s="90">
        <f>F166-N163</f>
        <v>140.50000000000003</v>
      </c>
      <c r="H166" s="104"/>
      <c r="I166" s="81" t="s">
        <v>203</v>
      </c>
      <c r="Q166" s="163" t="s">
        <v>122</v>
      </c>
      <c r="R166" s="47">
        <f t="shared" ref="R166:W168" si="143">B166*$J$8</f>
        <v>247.07675405567505</v>
      </c>
      <c r="S166" s="47">
        <f t="shared" si="143"/>
        <v>230.18063879004106</v>
      </c>
      <c r="T166" s="47">
        <f t="shared" si="143"/>
        <v>213.28452352440709</v>
      </c>
      <c r="U166" s="47">
        <f t="shared" si="143"/>
        <v>196.38840825877313</v>
      </c>
      <c r="V166" s="47">
        <f t="shared" si="143"/>
        <v>179.49229299313913</v>
      </c>
      <c r="W166" s="47">
        <f t="shared" si="143"/>
        <v>162.59617772750516</v>
      </c>
      <c r="Y166" s="2" t="s">
        <v>43</v>
      </c>
      <c r="Z166" s="96">
        <v>317</v>
      </c>
      <c r="AA166" s="96">
        <v>297</v>
      </c>
      <c r="AB166" s="96">
        <v>279</v>
      </c>
      <c r="AC166" s="96">
        <v>261.24</v>
      </c>
      <c r="AD166" s="96">
        <v>248.52</v>
      </c>
      <c r="AE166" s="96">
        <v>229.98000000000002</v>
      </c>
      <c r="AF166" s="145">
        <v>213.5</v>
      </c>
    </row>
    <row r="167" spans="1:32" x14ac:dyDescent="0.25">
      <c r="A167" s="2" t="s">
        <v>44</v>
      </c>
      <c r="B167" s="89">
        <v>0</v>
      </c>
      <c r="C167" s="99">
        <v>0</v>
      </c>
      <c r="D167" s="90">
        <v>0</v>
      </c>
      <c r="E167" s="90">
        <v>0</v>
      </c>
      <c r="F167" s="90">
        <v>0</v>
      </c>
      <c r="G167" s="90">
        <v>0</v>
      </c>
      <c r="I167" s="77" t="s">
        <v>213</v>
      </c>
      <c r="J167" s="81"/>
      <c r="K167" s="81"/>
      <c r="L167" s="81"/>
      <c r="M167" s="81"/>
      <c r="O167" s="81"/>
      <c r="Q167" s="162" t="s">
        <v>124</v>
      </c>
      <c r="R167" s="47">
        <f t="shared" si="143"/>
        <v>0</v>
      </c>
      <c r="S167" s="47">
        <f t="shared" si="143"/>
        <v>0</v>
      </c>
      <c r="T167" s="47">
        <f t="shared" si="143"/>
        <v>0</v>
      </c>
      <c r="U167" s="47">
        <f t="shared" si="143"/>
        <v>0</v>
      </c>
      <c r="V167" s="47">
        <f t="shared" si="143"/>
        <v>0</v>
      </c>
      <c r="W167" s="47">
        <f t="shared" si="143"/>
        <v>0</v>
      </c>
      <c r="Y167" s="2" t="s">
        <v>44</v>
      </c>
      <c r="Z167" s="96">
        <v>0</v>
      </c>
      <c r="AA167" s="96">
        <v>0</v>
      </c>
      <c r="AB167" s="96">
        <v>0</v>
      </c>
      <c r="AC167" s="96">
        <v>0</v>
      </c>
      <c r="AD167" s="96">
        <v>0</v>
      </c>
      <c r="AE167" s="96">
        <v>0</v>
      </c>
      <c r="AF167" s="145">
        <v>0</v>
      </c>
    </row>
    <row r="168" spans="1:32" x14ac:dyDescent="0.25">
      <c r="A168" s="2" t="s">
        <v>45</v>
      </c>
      <c r="B168" s="89">
        <v>0</v>
      </c>
      <c r="C168" s="99">
        <v>0</v>
      </c>
      <c r="D168" s="90">
        <v>0</v>
      </c>
      <c r="E168" s="90">
        <v>0</v>
      </c>
      <c r="F168" s="90">
        <v>0</v>
      </c>
      <c r="G168" s="90">
        <v>0</v>
      </c>
      <c r="J168" s="81"/>
      <c r="K168" s="81"/>
      <c r="L168" s="81"/>
      <c r="M168" s="81"/>
      <c r="N168" s="81"/>
      <c r="O168" s="81"/>
      <c r="Q168" s="163" t="s">
        <v>125</v>
      </c>
      <c r="R168" s="47">
        <f t="shared" si="143"/>
        <v>0</v>
      </c>
      <c r="S168" s="47">
        <f t="shared" si="143"/>
        <v>0</v>
      </c>
      <c r="T168" s="47">
        <f t="shared" si="143"/>
        <v>0</v>
      </c>
      <c r="U168" s="47">
        <f t="shared" si="143"/>
        <v>0</v>
      </c>
      <c r="V168" s="47">
        <f t="shared" si="143"/>
        <v>0</v>
      </c>
      <c r="W168" s="47">
        <f t="shared" si="143"/>
        <v>0</v>
      </c>
      <c r="Y168" s="2" t="s">
        <v>45</v>
      </c>
      <c r="Z168" s="96">
        <v>0</v>
      </c>
      <c r="AA168" s="96">
        <v>0</v>
      </c>
      <c r="AB168" s="96">
        <v>0</v>
      </c>
      <c r="AC168" s="96">
        <v>0</v>
      </c>
      <c r="AD168" s="96">
        <v>0</v>
      </c>
      <c r="AE168" s="96">
        <v>0</v>
      </c>
      <c r="AF168" s="145">
        <v>0</v>
      </c>
    </row>
    <row r="169" spans="1:32" x14ac:dyDescent="0.25">
      <c r="A169" s="2" t="s">
        <v>46</v>
      </c>
      <c r="B169" s="89">
        <v>0</v>
      </c>
      <c r="C169" s="99">
        <v>0</v>
      </c>
      <c r="D169" s="90">
        <v>0</v>
      </c>
      <c r="E169" s="90">
        <v>0</v>
      </c>
      <c r="F169" s="90">
        <v>0</v>
      </c>
      <c r="G169" s="90">
        <v>0</v>
      </c>
      <c r="I169" s="143" t="s">
        <v>183</v>
      </c>
      <c r="J169" s="81"/>
      <c r="K169" s="81"/>
      <c r="L169" s="81"/>
      <c r="M169" s="143" t="s">
        <v>184</v>
      </c>
      <c r="N169" s="81"/>
      <c r="O169" s="81"/>
      <c r="Q169" s="162" t="s">
        <v>127</v>
      </c>
      <c r="R169" s="47">
        <f t="shared" ref="R169:W169" si="144">B169*$J$9</f>
        <v>0</v>
      </c>
      <c r="S169" s="47">
        <f t="shared" si="144"/>
        <v>0</v>
      </c>
      <c r="T169" s="47">
        <f t="shared" si="144"/>
        <v>0</v>
      </c>
      <c r="U169" s="47">
        <f t="shared" si="144"/>
        <v>0</v>
      </c>
      <c r="V169" s="47">
        <f t="shared" si="144"/>
        <v>0</v>
      </c>
      <c r="W169" s="47">
        <f t="shared" si="144"/>
        <v>0</v>
      </c>
      <c r="Y169" s="2" t="s">
        <v>46</v>
      </c>
      <c r="Z169" s="96">
        <v>0</v>
      </c>
      <c r="AA169" s="96">
        <v>0</v>
      </c>
      <c r="AB169" s="96">
        <v>0</v>
      </c>
      <c r="AC169" s="96">
        <v>0</v>
      </c>
      <c r="AD169" s="96">
        <v>0</v>
      </c>
      <c r="AE169" s="96">
        <v>0</v>
      </c>
      <c r="AF169" s="145">
        <v>0</v>
      </c>
    </row>
    <row r="170" spans="1:32" x14ac:dyDescent="0.25">
      <c r="A170" s="2" t="s">
        <v>47</v>
      </c>
      <c r="B170" s="89">
        <f>SUM(B161:B169)</f>
        <v>3327.54</v>
      </c>
      <c r="C170" s="99">
        <f t="shared" ref="C170:E170" si="145">SUM(C161:C169)</f>
        <v>3327.5400000000004</v>
      </c>
      <c r="D170" s="90">
        <f t="shared" si="145"/>
        <v>3327.5400000000004</v>
      </c>
      <c r="E170" s="90">
        <f t="shared" si="145"/>
        <v>3327.54</v>
      </c>
      <c r="F170" s="90">
        <f>SUM(F161:F169)</f>
        <v>3327.54</v>
      </c>
      <c r="G170" s="90">
        <f>SUM(G161:G169)</f>
        <v>3327.54</v>
      </c>
      <c r="I170" s="174" t="s">
        <v>155</v>
      </c>
      <c r="J170" s="174" t="s">
        <v>152</v>
      </c>
      <c r="K170" s="174" t="s">
        <v>24</v>
      </c>
      <c r="L170" s="174" t="s">
        <v>156</v>
      </c>
      <c r="M170" s="131" t="s">
        <v>157</v>
      </c>
      <c r="N170" s="131" t="s">
        <v>158</v>
      </c>
      <c r="O170" s="174" t="s">
        <v>159</v>
      </c>
      <c r="Q170" s="163" t="s">
        <v>133</v>
      </c>
      <c r="R170" s="47">
        <f t="shared" ref="R170:W170" si="146">SUM(R161:R169)</f>
        <v>724.37250149342321</v>
      </c>
      <c r="S170" s="47">
        <f t="shared" si="146"/>
        <v>682.59024864888795</v>
      </c>
      <c r="T170" s="47">
        <f t="shared" si="146"/>
        <v>640.8079958043528</v>
      </c>
      <c r="U170" s="47">
        <f t="shared" si="146"/>
        <v>599.02574295981765</v>
      </c>
      <c r="V170" s="47">
        <f t="shared" si="146"/>
        <v>557.24349011528238</v>
      </c>
      <c r="W170" s="47">
        <f t="shared" si="146"/>
        <v>515.46123727074723</v>
      </c>
      <c r="Y170" s="2" t="s">
        <v>47</v>
      </c>
      <c r="Z170" s="96">
        <f>SUM(Z161:Z169)</f>
        <v>3292</v>
      </c>
      <c r="AA170" s="96">
        <f>SUM(AA161:AA169)</f>
        <v>3300</v>
      </c>
      <c r="AB170" s="96">
        <f>SUM(AB161:AB169)</f>
        <v>3307</v>
      </c>
      <c r="AC170" s="96">
        <v>3311.1100000000006</v>
      </c>
      <c r="AD170" s="96">
        <f t="shared" ref="AD170:AE170" si="147">SUM(AD161:AD169)</f>
        <v>3314.7999999999997</v>
      </c>
      <c r="AE170" s="96">
        <f t="shared" si="147"/>
        <v>3323.4700000000003</v>
      </c>
      <c r="AF170" s="96">
        <f t="shared" ref="AF170" si="148">SUM(AF161:AF169)</f>
        <v>3327.54</v>
      </c>
    </row>
    <row r="171" spans="1:32" x14ac:dyDescent="0.25">
      <c r="A171" s="135" t="s">
        <v>48</v>
      </c>
      <c r="B171" s="136" t="s">
        <v>94</v>
      </c>
      <c r="C171" s="135" t="s">
        <v>95</v>
      </c>
      <c r="D171" s="135" t="s">
        <v>96</v>
      </c>
      <c r="E171" s="135" t="s">
        <v>97</v>
      </c>
      <c r="F171" s="135" t="s">
        <v>98</v>
      </c>
      <c r="G171" s="135" t="s">
        <v>99</v>
      </c>
      <c r="I171" s="81" t="s">
        <v>160</v>
      </c>
      <c r="J171" s="81">
        <v>225</v>
      </c>
      <c r="K171" s="81">
        <v>73</v>
      </c>
      <c r="L171" s="81">
        <v>152</v>
      </c>
      <c r="M171" s="81">
        <f>225/5</f>
        <v>45</v>
      </c>
      <c r="N171" s="81">
        <f>73/5</f>
        <v>14.6</v>
      </c>
      <c r="O171" s="81">
        <f>152/5</f>
        <v>30.4</v>
      </c>
      <c r="Q171" s="162" t="s">
        <v>135</v>
      </c>
      <c r="R171" s="47">
        <f t="shared" ref="R171:W172" si="149">B172*$J$13</f>
        <v>151.37108380262873</v>
      </c>
      <c r="S171" s="47">
        <f t="shared" si="149"/>
        <v>121.94435678034476</v>
      </c>
      <c r="T171" s="47">
        <f t="shared" si="149"/>
        <v>92.517629758060792</v>
      </c>
      <c r="U171" s="47">
        <f t="shared" si="149"/>
        <v>63.090902735776837</v>
      </c>
      <c r="V171" s="47">
        <f t="shared" si="149"/>
        <v>33.664175713492853</v>
      </c>
      <c r="W171" s="47">
        <f t="shared" si="149"/>
        <v>4.2374486912088916</v>
      </c>
      <c r="Y171" s="130" t="s">
        <v>48</v>
      </c>
      <c r="Z171" s="158" t="s">
        <v>103</v>
      </c>
      <c r="AA171" s="158" t="s">
        <v>104</v>
      </c>
      <c r="AB171" s="158" t="s">
        <v>105</v>
      </c>
      <c r="AC171" s="158" t="s">
        <v>106</v>
      </c>
      <c r="AD171" s="158" t="s">
        <v>107</v>
      </c>
      <c r="AE171" s="158" t="s">
        <v>108</v>
      </c>
      <c r="AF171" s="159" t="s">
        <v>109</v>
      </c>
    </row>
    <row r="172" spans="1:32" x14ac:dyDescent="0.25">
      <c r="A172" s="2" t="s">
        <v>38</v>
      </c>
      <c r="B172" s="25">
        <v>10449</v>
      </c>
      <c r="C172" s="102">
        <f t="shared" ref="C172:G173" si="150">B172-J$165*B172/(B$172+B$173+B$177+B$179)</f>
        <v>8417.7013996889582</v>
      </c>
      <c r="D172" s="50">
        <f t="shared" si="150"/>
        <v>6386.4027993779164</v>
      </c>
      <c r="E172" s="50">
        <f t="shared" si="150"/>
        <v>4355.1041990668746</v>
      </c>
      <c r="F172" s="50">
        <f t="shared" si="150"/>
        <v>2323.8055987558319</v>
      </c>
      <c r="G172" s="50">
        <f t="shared" si="150"/>
        <v>292.50699844479004</v>
      </c>
      <c r="I172" s="81" t="s">
        <v>161</v>
      </c>
      <c r="J172" s="81">
        <v>225</v>
      </c>
      <c r="K172" s="81">
        <v>73</v>
      </c>
      <c r="L172" s="81">
        <v>152</v>
      </c>
      <c r="M172" s="81">
        <f t="shared" ref="M172:M173" si="151">225/5</f>
        <v>45</v>
      </c>
      <c r="N172" s="81">
        <f t="shared" ref="N172:N173" si="152">73/5</f>
        <v>14.6</v>
      </c>
      <c r="O172" s="81">
        <f t="shared" ref="O172:O173" si="153">152/5</f>
        <v>30.4</v>
      </c>
      <c r="Q172" s="169" t="s">
        <v>137</v>
      </c>
      <c r="R172" s="47">
        <f t="shared" si="149"/>
        <v>67.333983875453953</v>
      </c>
      <c r="S172" s="47">
        <f t="shared" si="149"/>
        <v>54.244173635280163</v>
      </c>
      <c r="T172" s="47">
        <f t="shared" si="149"/>
        <v>41.15436339510638</v>
      </c>
      <c r="U172" s="47">
        <f t="shared" si="149"/>
        <v>28.064553154932597</v>
      </c>
      <c r="V172" s="47">
        <f t="shared" si="149"/>
        <v>14.974742914758814</v>
      </c>
      <c r="W172" s="47">
        <f t="shared" si="149"/>
        <v>1.8849326745850252</v>
      </c>
      <c r="Y172" s="2" t="s">
        <v>38</v>
      </c>
      <c r="Z172" s="145">
        <v>19232</v>
      </c>
      <c r="AA172" s="145">
        <v>18151</v>
      </c>
      <c r="AB172" s="145">
        <v>17348</v>
      </c>
      <c r="AC172" s="145">
        <v>15876</v>
      </c>
      <c r="AD172" s="145">
        <v>13113</v>
      </c>
      <c r="AE172" s="145">
        <v>11806</v>
      </c>
      <c r="AF172" s="145">
        <v>10449</v>
      </c>
    </row>
    <row r="173" spans="1:32" x14ac:dyDescent="0.25">
      <c r="A173" s="2" t="s">
        <v>39</v>
      </c>
      <c r="B173" s="25">
        <v>4648</v>
      </c>
      <c r="C173" s="102">
        <f t="shared" si="150"/>
        <v>3744.4230171073095</v>
      </c>
      <c r="D173" s="50">
        <f t="shared" si="150"/>
        <v>2840.8460342146191</v>
      </c>
      <c r="E173" s="50">
        <f t="shared" si="150"/>
        <v>1937.2690513219286</v>
      </c>
      <c r="F173" s="50">
        <f t="shared" si="150"/>
        <v>1033.6920684292381</v>
      </c>
      <c r="G173" s="50">
        <f t="shared" si="150"/>
        <v>130.11508553654744</v>
      </c>
      <c r="I173" s="81" t="s">
        <v>185</v>
      </c>
      <c r="J173" s="81">
        <v>223</v>
      </c>
      <c r="K173" s="81">
        <v>72</v>
      </c>
      <c r="L173" s="81">
        <v>151</v>
      </c>
      <c r="M173" s="81">
        <f t="shared" si="151"/>
        <v>45</v>
      </c>
      <c r="N173" s="81">
        <f t="shared" si="152"/>
        <v>14.6</v>
      </c>
      <c r="O173" s="81">
        <f t="shared" si="153"/>
        <v>30.4</v>
      </c>
      <c r="Q173" s="162" t="s">
        <v>138</v>
      </c>
      <c r="R173" s="47">
        <f t="shared" ref="R173:W174" si="154">B174*$J$14</f>
        <v>0</v>
      </c>
      <c r="S173" s="47">
        <f t="shared" si="154"/>
        <v>0</v>
      </c>
      <c r="T173" s="47">
        <f t="shared" si="154"/>
        <v>0</v>
      </c>
      <c r="U173" s="47">
        <f t="shared" si="154"/>
        <v>0</v>
      </c>
      <c r="V173" s="47">
        <f t="shared" si="154"/>
        <v>0</v>
      </c>
      <c r="W173" s="47">
        <f t="shared" si="154"/>
        <v>0</v>
      </c>
      <c r="Y173" s="2" t="s">
        <v>39</v>
      </c>
      <c r="Z173" s="145">
        <v>9252</v>
      </c>
      <c r="AA173" s="145">
        <v>8268</v>
      </c>
      <c r="AB173" s="145">
        <v>7908</v>
      </c>
      <c r="AC173" s="145">
        <v>7210</v>
      </c>
      <c r="AD173" s="145">
        <v>6054</v>
      </c>
      <c r="AE173" s="145">
        <v>5263</v>
      </c>
      <c r="AF173" s="145">
        <v>4648</v>
      </c>
    </row>
    <row r="174" spans="1:32" x14ac:dyDescent="0.25">
      <c r="A174" s="2" t="s">
        <v>40</v>
      </c>
      <c r="B174" s="25">
        <v>0</v>
      </c>
      <c r="C174" s="102">
        <v>0</v>
      </c>
      <c r="D174" s="50"/>
      <c r="E174" s="50"/>
      <c r="F174" s="50"/>
      <c r="G174" s="50"/>
      <c r="I174" s="81" t="s">
        <v>186</v>
      </c>
      <c r="J174" s="81">
        <v>129</v>
      </c>
      <c r="K174" s="81">
        <v>42</v>
      </c>
      <c r="L174" s="81">
        <v>87</v>
      </c>
      <c r="M174" s="156" t="s">
        <v>203</v>
      </c>
      <c r="N174" s="156"/>
      <c r="O174" s="81"/>
      <c r="Q174" s="169" t="s">
        <v>139</v>
      </c>
      <c r="R174" s="47">
        <f t="shared" si="154"/>
        <v>23.176019223414134</v>
      </c>
      <c r="S174" s="47">
        <f t="shared" si="154"/>
        <v>23.176019223414134</v>
      </c>
      <c r="T174" s="47">
        <f t="shared" si="154"/>
        <v>23.176019223414134</v>
      </c>
      <c r="U174" s="47">
        <f t="shared" si="154"/>
        <v>23.176019223414134</v>
      </c>
      <c r="V174" s="47">
        <f t="shared" si="154"/>
        <v>23.176019223414134</v>
      </c>
      <c r="W174" s="47">
        <f t="shared" si="154"/>
        <v>23.176019223414134</v>
      </c>
      <c r="Y174" s="81" t="s">
        <v>40</v>
      </c>
      <c r="Z174" s="145">
        <v>0</v>
      </c>
      <c r="AA174" s="145">
        <v>0</v>
      </c>
      <c r="AB174" s="145">
        <v>0</v>
      </c>
      <c r="AC174" s="145">
        <v>0</v>
      </c>
      <c r="AD174" s="145">
        <v>0</v>
      </c>
      <c r="AE174" s="145">
        <v>0</v>
      </c>
      <c r="AF174" s="145">
        <v>0</v>
      </c>
    </row>
    <row r="175" spans="1:32" x14ac:dyDescent="0.25">
      <c r="A175" s="2" t="s">
        <v>41</v>
      </c>
      <c r="B175" s="25">
        <v>17893</v>
      </c>
      <c r="C175" s="102">
        <f>B175</f>
        <v>17893</v>
      </c>
      <c r="D175" s="50">
        <f t="shared" ref="D175:G175" si="155">C175</f>
        <v>17893</v>
      </c>
      <c r="E175" s="50">
        <f t="shared" si="155"/>
        <v>17893</v>
      </c>
      <c r="F175" s="50">
        <f t="shared" si="155"/>
        <v>17893</v>
      </c>
      <c r="G175" s="50">
        <f t="shared" si="155"/>
        <v>17893</v>
      </c>
      <c r="I175" s="81" t="s">
        <v>203</v>
      </c>
      <c r="J175" s="81"/>
      <c r="K175" s="81"/>
      <c r="L175" s="81"/>
      <c r="Q175" s="162" t="s">
        <v>140</v>
      </c>
      <c r="R175" s="47">
        <f t="shared" ref="R175:W175" si="156">B176*$J$15</f>
        <v>46.779794862113405</v>
      </c>
      <c r="S175" s="47">
        <f t="shared" si="156"/>
        <v>47.568776863903103</v>
      </c>
      <c r="T175" s="47">
        <f t="shared" si="156"/>
        <v>48.357758865692794</v>
      </c>
      <c r="U175" s="47">
        <f t="shared" si="156"/>
        <v>49.146740867482492</v>
      </c>
      <c r="V175" s="47">
        <f t="shared" si="156"/>
        <v>49.935722869272183</v>
      </c>
      <c r="W175" s="47">
        <f t="shared" si="156"/>
        <v>50.724704871061881</v>
      </c>
      <c r="Y175" s="2" t="s">
        <v>41</v>
      </c>
      <c r="Z175" s="145">
        <v>19087</v>
      </c>
      <c r="AA175" s="145">
        <v>19062</v>
      </c>
      <c r="AB175" s="145">
        <v>18963</v>
      </c>
      <c r="AC175" s="145">
        <v>18781</v>
      </c>
      <c r="AD175" s="145">
        <v>18282</v>
      </c>
      <c r="AE175" s="145">
        <v>18067</v>
      </c>
      <c r="AF175" s="145">
        <v>17893</v>
      </c>
    </row>
    <row r="176" spans="1:32" x14ac:dyDescent="0.25">
      <c r="A176" s="2" t="s">
        <v>42</v>
      </c>
      <c r="B176" s="25">
        <v>177874</v>
      </c>
      <c r="C176" s="102">
        <f>B176+J165+J180</f>
        <v>180874</v>
      </c>
      <c r="D176" s="50">
        <f>C176+K165+K180</f>
        <v>183874</v>
      </c>
      <c r="E176" s="50">
        <f>D176+L165+L180</f>
        <v>186874</v>
      </c>
      <c r="F176" s="50">
        <f>E176+M165+M180</f>
        <v>189874</v>
      </c>
      <c r="G176" s="50">
        <f>F176+N165+N180</f>
        <v>192874</v>
      </c>
      <c r="Q176" s="169" t="s">
        <v>142</v>
      </c>
      <c r="R176" s="47">
        <f t="shared" ref="R176:W177" si="157">B177*$J$13</f>
        <v>0.10140660222206921</v>
      </c>
      <c r="S176" s="47">
        <f t="shared" si="157"/>
        <v>8.169303258325325E-2</v>
      </c>
      <c r="T176" s="47">
        <f t="shared" si="157"/>
        <v>6.1979462944437312E-2</v>
      </c>
      <c r="U176" s="47">
        <f t="shared" si="157"/>
        <v>4.2265893305621374E-2</v>
      </c>
      <c r="V176" s="47">
        <f t="shared" si="157"/>
        <v>2.2552323666805436E-2</v>
      </c>
      <c r="W176" s="47">
        <f t="shared" si="157"/>
        <v>2.8387540279894955E-3</v>
      </c>
      <c r="Y176" s="2" t="s">
        <v>42</v>
      </c>
      <c r="Z176" s="145">
        <v>156777</v>
      </c>
      <c r="AA176" s="145">
        <v>160733</v>
      </c>
      <c r="AB176" s="145">
        <v>163356</v>
      </c>
      <c r="AC176" s="145">
        <v>166730</v>
      </c>
      <c r="AD176" s="145">
        <v>172162</v>
      </c>
      <c r="AE176" s="145">
        <v>175212</v>
      </c>
      <c r="AF176" s="145">
        <v>177874</v>
      </c>
    </row>
    <row r="177" spans="1:32" x14ac:dyDescent="0.25">
      <c r="A177" s="2" t="s">
        <v>43</v>
      </c>
      <c r="B177" s="25">
        <v>7</v>
      </c>
      <c r="C177" s="102">
        <f>B177-J$165*B177/(B$172+B$173+B$177+B$179)</f>
        <v>5.639191290824261</v>
      </c>
      <c r="D177" s="50">
        <f>C177-K$165*C177/(C$172+C$173+C$177+C$179)</f>
        <v>4.2783825816485219</v>
      </c>
      <c r="E177" s="50">
        <f>D177-L$165*D177/(D$172+D$173+D$177+D$179)</f>
        <v>2.9175738724727838</v>
      </c>
      <c r="F177" s="50">
        <f>E177-M$165*E177/(E$172+E$173+E$177+E$179)</f>
        <v>1.5567651632970452</v>
      </c>
      <c r="G177" s="50">
        <f>F177-N$165*F177/(F$172+F$173+F$177+F$179)</f>
        <v>0.19595645412130636</v>
      </c>
      <c r="I177" s="143" t="s">
        <v>144</v>
      </c>
      <c r="J177" s="81"/>
      <c r="K177" s="81"/>
      <c r="L177" s="81"/>
      <c r="M177" s="81"/>
      <c r="O177" s="20"/>
      <c r="Q177" s="162" t="s">
        <v>143</v>
      </c>
      <c r="R177" s="47">
        <f t="shared" si="157"/>
        <v>0</v>
      </c>
      <c r="S177" s="47">
        <f t="shared" si="157"/>
        <v>0</v>
      </c>
      <c r="T177" s="47">
        <f t="shared" si="157"/>
        <v>0</v>
      </c>
      <c r="U177" s="47">
        <f t="shared" si="157"/>
        <v>0</v>
      </c>
      <c r="V177" s="47">
        <f t="shared" si="157"/>
        <v>0</v>
      </c>
      <c r="W177" s="47">
        <f t="shared" si="157"/>
        <v>0</v>
      </c>
      <c r="Y177" s="2" t="s">
        <v>43</v>
      </c>
      <c r="Z177" s="145">
        <v>8</v>
      </c>
      <c r="AA177" s="145">
        <v>8</v>
      </c>
      <c r="AB177" s="145">
        <v>8</v>
      </c>
      <c r="AC177" s="145">
        <v>8</v>
      </c>
      <c r="AD177" s="145">
        <v>8</v>
      </c>
      <c r="AE177" s="145">
        <v>8</v>
      </c>
      <c r="AF177" s="145">
        <v>7</v>
      </c>
    </row>
    <row r="178" spans="1:32" x14ac:dyDescent="0.25">
      <c r="A178" s="2" t="s">
        <v>44</v>
      </c>
      <c r="B178" s="25">
        <v>0</v>
      </c>
      <c r="C178" s="102">
        <v>0</v>
      </c>
      <c r="D178" s="50"/>
      <c r="E178" s="50"/>
      <c r="F178" s="50"/>
      <c r="G178" s="50"/>
      <c r="I178" s="175" t="s">
        <v>110</v>
      </c>
      <c r="J178" s="179" t="s">
        <v>69</v>
      </c>
      <c r="K178" s="179" t="s">
        <v>70</v>
      </c>
      <c r="L178" s="179" t="s">
        <v>71</v>
      </c>
      <c r="M178" s="179" t="s">
        <v>72</v>
      </c>
      <c r="N178" s="179" t="s">
        <v>73</v>
      </c>
      <c r="Q178" s="169" t="s">
        <v>145</v>
      </c>
      <c r="R178" s="47">
        <f t="shared" ref="R178:W178" si="158">B179*$J$16</f>
        <v>1.6066474104353337</v>
      </c>
      <c r="S178" s="47">
        <f t="shared" si="158"/>
        <v>1.2943131549074693</v>
      </c>
      <c r="T178" s="47">
        <f t="shared" si="158"/>
        <v>0.98197889937960503</v>
      </c>
      <c r="U178" s="47">
        <f t="shared" si="158"/>
        <v>0.66964464385174072</v>
      </c>
      <c r="V178" s="47">
        <f t="shared" si="158"/>
        <v>0.35731038832387663</v>
      </c>
      <c r="W178" s="47">
        <f t="shared" si="158"/>
        <v>4.4976132796012432E-2</v>
      </c>
      <c r="Y178" s="2" t="s">
        <v>44</v>
      </c>
      <c r="Z178" s="145">
        <v>0</v>
      </c>
      <c r="AA178" s="145">
        <v>0</v>
      </c>
      <c r="AB178" s="145">
        <v>0</v>
      </c>
      <c r="AC178" s="145">
        <v>0</v>
      </c>
      <c r="AD178" s="145">
        <v>0</v>
      </c>
      <c r="AE178" s="145">
        <v>0</v>
      </c>
      <c r="AF178" s="145">
        <v>0</v>
      </c>
    </row>
    <row r="179" spans="1:32" x14ac:dyDescent="0.25">
      <c r="A179" s="2" t="s">
        <v>45</v>
      </c>
      <c r="B179" s="25">
        <v>328</v>
      </c>
      <c r="C179" s="97">
        <f>B179-J$165*B179/(B$172+B$173+B$177+B$179)</f>
        <v>264.23639191290823</v>
      </c>
      <c r="D179" s="93">
        <f>C179-K$165*C179/(C$172+C$173+C$177+C$179)</f>
        <v>200.47278382581646</v>
      </c>
      <c r="E179" s="93">
        <f>D179-L$165*D179/(D$172+D$173+D$177+D$179)</f>
        <v>136.7091757387247</v>
      </c>
      <c r="F179" s="93">
        <f>E179-M$165*E179/(E$172+E$173+E$177+E$179)</f>
        <v>72.945567651632956</v>
      </c>
      <c r="G179" s="93">
        <f>F179-N$165*F179/(F$172+F$173+F$177+F$179)</f>
        <v>9.1819595645412093</v>
      </c>
      <c r="I179" s="81" t="s">
        <v>147</v>
      </c>
      <c r="J179" s="157">
        <v>0</v>
      </c>
      <c r="K179" s="157">
        <v>0</v>
      </c>
      <c r="L179" s="157">
        <v>0</v>
      </c>
      <c r="M179" s="157">
        <v>0</v>
      </c>
      <c r="N179" s="157">
        <v>0</v>
      </c>
      <c r="Q179" s="162" t="s">
        <v>146</v>
      </c>
      <c r="R179" s="47">
        <f t="shared" ref="R179:W179" si="159">B180*$J$13</f>
        <v>0</v>
      </c>
      <c r="S179" s="47">
        <f t="shared" si="159"/>
        <v>0</v>
      </c>
      <c r="T179" s="47">
        <f t="shared" si="159"/>
        <v>0</v>
      </c>
      <c r="U179" s="47">
        <f t="shared" si="159"/>
        <v>0</v>
      </c>
      <c r="V179" s="47">
        <f t="shared" si="159"/>
        <v>0</v>
      </c>
      <c r="W179" s="47">
        <f t="shared" si="159"/>
        <v>0</v>
      </c>
      <c r="Y179" s="2" t="s">
        <v>45</v>
      </c>
      <c r="Z179" s="145">
        <v>591</v>
      </c>
      <c r="AA179" s="145">
        <v>543</v>
      </c>
      <c r="AB179" s="145">
        <v>483</v>
      </c>
      <c r="AC179" s="145">
        <v>445</v>
      </c>
      <c r="AD179" s="145">
        <v>393</v>
      </c>
      <c r="AE179" s="145">
        <v>365</v>
      </c>
      <c r="AF179" s="145">
        <v>328</v>
      </c>
    </row>
    <row r="180" spans="1:32" x14ac:dyDescent="0.25">
      <c r="A180" s="2" t="s">
        <v>46</v>
      </c>
      <c r="B180" s="25">
        <v>0</v>
      </c>
      <c r="C180" s="102">
        <v>0</v>
      </c>
      <c r="D180" s="50"/>
      <c r="E180" s="50"/>
      <c r="F180" s="50"/>
      <c r="G180" s="50"/>
      <c r="I180" s="81" t="s">
        <v>28</v>
      </c>
      <c r="J180" s="157">
        <v>0</v>
      </c>
      <c r="K180" s="157">
        <v>0</v>
      </c>
      <c r="L180" s="157">
        <v>0</v>
      </c>
      <c r="M180" s="157">
        <v>0</v>
      </c>
      <c r="N180" s="157">
        <v>0</v>
      </c>
      <c r="Q180" s="169" t="s">
        <v>148</v>
      </c>
      <c r="R180" s="47">
        <f t="shared" ref="R180" si="160">SUM(R171:R179)</f>
        <v>290.36893577626768</v>
      </c>
      <c r="S180" s="47">
        <f t="shared" ref="S180:W180" si="161">SUM(S171:S179)</f>
        <v>248.30933269043288</v>
      </c>
      <c r="T180" s="47">
        <f t="shared" si="161"/>
        <v>206.24972960459814</v>
      </c>
      <c r="U180" s="47">
        <f t="shared" si="161"/>
        <v>164.19012651876344</v>
      </c>
      <c r="V180" s="47">
        <f t="shared" si="161"/>
        <v>122.13052343292867</v>
      </c>
      <c r="W180" s="47">
        <f t="shared" si="161"/>
        <v>80.070920347093931</v>
      </c>
      <c r="Y180" s="2" t="s">
        <v>46</v>
      </c>
      <c r="Z180" s="145">
        <v>0</v>
      </c>
      <c r="AA180" s="145">
        <v>0</v>
      </c>
      <c r="AB180" s="145">
        <v>0</v>
      </c>
      <c r="AC180" s="145">
        <v>0</v>
      </c>
      <c r="AD180" s="145">
        <v>0</v>
      </c>
      <c r="AE180" s="145">
        <v>0</v>
      </c>
      <c r="AF180" s="145">
        <v>0</v>
      </c>
    </row>
    <row r="181" spans="1:32" x14ac:dyDescent="0.25">
      <c r="A181" s="2" t="s">
        <v>50</v>
      </c>
      <c r="B181" s="25">
        <f t="shared" ref="B181:C181" si="162">SUM(B172:B180)</f>
        <v>211199</v>
      </c>
      <c r="C181" s="102">
        <f t="shared" si="162"/>
        <v>211199</v>
      </c>
      <c r="D181" s="50">
        <f t="shared" ref="D181:G181" si="163">SUM(D172:D180)</f>
        <v>211199.00000000003</v>
      </c>
      <c r="E181" s="50">
        <f t="shared" si="163"/>
        <v>211199</v>
      </c>
      <c r="F181" s="50">
        <f t="shared" si="163"/>
        <v>211198.99999999997</v>
      </c>
      <c r="G181" s="50">
        <f t="shared" si="163"/>
        <v>211199</v>
      </c>
      <c r="I181" s="77" t="s">
        <v>203</v>
      </c>
      <c r="J181" s="157"/>
      <c r="K181" s="157"/>
      <c r="L181" s="157"/>
      <c r="M181" s="157"/>
      <c r="N181" s="157"/>
      <c r="Q181" s="166" t="s">
        <v>141</v>
      </c>
      <c r="R181" s="167">
        <f t="shared" ref="R181:W181" si="164">R170+R180</f>
        <v>1014.7414372696909</v>
      </c>
      <c r="S181" s="167">
        <f t="shared" si="164"/>
        <v>930.89958133932078</v>
      </c>
      <c r="T181" s="167">
        <f t="shared" si="164"/>
        <v>847.057725408951</v>
      </c>
      <c r="U181" s="167">
        <f t="shared" si="164"/>
        <v>763.21586947858111</v>
      </c>
      <c r="V181" s="167">
        <f t="shared" si="164"/>
        <v>679.374013548211</v>
      </c>
      <c r="W181" s="168">
        <f t="shared" si="164"/>
        <v>595.53215761784122</v>
      </c>
      <c r="Y181" s="2" t="s">
        <v>50</v>
      </c>
      <c r="Z181" s="145">
        <f>SUM(Z172:Z180)</f>
        <v>204947</v>
      </c>
      <c r="AA181" s="145">
        <f>SUM(AA172:AA180)</f>
        <v>206765</v>
      </c>
      <c r="AB181" s="145">
        <f>SUM(AB172:AB180)</f>
        <v>208066</v>
      </c>
      <c r="AC181" s="145">
        <f t="shared" ref="AC181:AE181" si="165">SUM(AC172:AC180)</f>
        <v>209050</v>
      </c>
      <c r="AD181" s="145">
        <f t="shared" si="165"/>
        <v>210012</v>
      </c>
      <c r="AE181" s="145">
        <f t="shared" si="165"/>
        <v>210721</v>
      </c>
      <c r="AF181" s="145">
        <f t="shared" ref="AF181" si="166">SUM(AF172:AF180)</f>
        <v>211199</v>
      </c>
    </row>
    <row r="182" spans="1:32" x14ac:dyDescent="0.25">
      <c r="A182" s="2" t="s">
        <v>203</v>
      </c>
      <c r="B182" s="25"/>
      <c r="C182" s="102"/>
      <c r="D182" s="50"/>
      <c r="E182" s="50"/>
      <c r="F182" s="50"/>
      <c r="G182" s="50"/>
      <c r="P182" s="180"/>
      <c r="Q182" s="2" t="s">
        <v>203</v>
      </c>
      <c r="R182" s="210"/>
      <c r="S182" s="210"/>
      <c r="T182" s="210"/>
      <c r="U182" s="210"/>
      <c r="V182" s="210"/>
      <c r="W182" s="210"/>
      <c r="Y182" s="2" t="s">
        <v>203</v>
      </c>
      <c r="Z182" s="211"/>
      <c r="AA182" s="211"/>
      <c r="AB182" s="211"/>
      <c r="AC182" s="211"/>
      <c r="AD182" s="211"/>
      <c r="AE182" s="211"/>
      <c r="AF182" s="211"/>
    </row>
    <row r="183" spans="1:32" x14ac:dyDescent="0.25">
      <c r="A183" s="2" t="s">
        <v>4</v>
      </c>
      <c r="B183" s="50"/>
      <c r="C183" s="50"/>
      <c r="D183" s="209"/>
      <c r="E183" s="209"/>
      <c r="F183" s="209"/>
      <c r="G183" s="209"/>
    </row>
    <row r="184" spans="1:32" x14ac:dyDescent="0.25">
      <c r="A184" s="2" t="s">
        <v>214</v>
      </c>
    </row>
    <row r="189" spans="1:32" x14ac:dyDescent="0.25">
      <c r="I189" s="81"/>
    </row>
  </sheetData>
  <phoneticPr fontId="37" type="noConversion"/>
  <hyperlinks>
    <hyperlink ref="I23" r:id="rId1" display="https://www.epa.gov/ghgemissions/natural-gas-and-petroleum-systems-ghg-inventory-additional-information-1990-2022-ghg" xr:uid="{0F38FA2E-00B5-414F-9BA7-4EC1AF5CBCD9}"/>
  </hyperlinks>
  <pageMargins left="0.5" right="0.5" top="0.5" bottom="0.25" header="0.3" footer="0.3"/>
  <pageSetup scale="46" fitToHeight="0" orientation="portrait" r:id="rId2"/>
  <headerFooter>
    <oddFooter>&amp;R&amp;P</oddFooter>
  </headerFooter>
  <rowBreaks count="1" manualBreakCount="1">
    <brk id="80" max="16383" man="1"/>
  </rowBreaks>
  <tableParts count="5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  <tablePart r:id="rId5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48B8951B32C44A8ABF1C6EE626DEA0" ma:contentTypeVersion="14" ma:contentTypeDescription="Create a new document." ma:contentTypeScope="" ma:versionID="1650441cba533cdd87d71197d4d38a1f">
  <xsd:schema xmlns:xsd="http://www.w3.org/2001/XMLSchema" xmlns:xs="http://www.w3.org/2001/XMLSchema" xmlns:p="http://schemas.microsoft.com/office/2006/metadata/properties" xmlns:ns2="97c241f7-0c18-4008-861b-5a676167a037" xmlns:ns3="7b83dbe2-6fd2-449a-a932-0d75829bf641" targetNamespace="http://schemas.microsoft.com/office/2006/metadata/properties" ma:root="true" ma:fieldsID="bf484b502aa0631730d63a6fcc4c17d9" ns2:_="" ns3:_="">
    <xsd:import namespace="97c241f7-0c18-4008-861b-5a676167a037"/>
    <xsd:import namespace="7b83dbe2-6fd2-449a-a932-0d75829bf6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c241f7-0c18-4008-861b-5a676167a0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83dbe2-6fd2-449a-a932-0d75829bf641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0e1eecbb-5736-4a27-a3d9-8cd4d931ca33}" ma:internalName="TaxCatchAll" ma:showField="CatchAllData" ma:web="7b83dbe2-6fd2-449a-a932-0d75829bf6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7c241f7-0c18-4008-861b-5a676167a037">
      <Terms xmlns="http://schemas.microsoft.com/office/infopath/2007/PartnerControls"/>
    </lcf76f155ced4ddcb4097134ff3c332f>
    <TaxCatchAll xmlns="7b83dbe2-6fd2-449a-a932-0d75829bf641" xsi:nil="true"/>
  </documentManagement>
</p:properties>
</file>

<file path=customXml/itemProps1.xml><?xml version="1.0" encoding="utf-8"?>
<ds:datastoreItem xmlns:ds="http://schemas.openxmlformats.org/officeDocument/2006/customXml" ds:itemID="{E7612B9F-A4D1-4885-9520-17778AE86E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c241f7-0c18-4008-861b-5a676167a037"/>
    <ds:schemaRef ds:uri="7b83dbe2-6fd2-449a-a932-0d75829bf6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1C5C7D-EE20-49A4-A1DF-E21258FB88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17CB7C-8369-4532-997D-2E211B2C5788}">
  <ds:schemaRefs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7b83dbe2-6fd2-449a-a932-0d75829bf641"/>
    <ds:schemaRef ds:uri="http://schemas.microsoft.com/office/2006/documentManagement/types"/>
    <ds:schemaRef ds:uri="http://purl.org/dc/dcmitype/"/>
    <ds:schemaRef ds:uri="http://purl.org/dc/terms/"/>
    <ds:schemaRef ds:uri="97c241f7-0c18-4008-861b-5a676167a037"/>
    <ds:schemaRef ds:uri="http://schemas.microsoft.com/office/2006/metadata/properties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Contents</vt:lpstr>
      <vt:lpstr>Stakeholder Memo Table 3</vt:lpstr>
      <vt:lpstr>Stakeholder Memo Table 4</vt:lpstr>
      <vt:lpstr>Stakeholder Memo Table 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Weber, Sharon (DEP)</cp:lastModifiedBy>
  <cp:revision/>
  <dcterms:created xsi:type="dcterms:W3CDTF">2016-11-25T01:10:52Z</dcterms:created>
  <dcterms:modified xsi:type="dcterms:W3CDTF">2026-01-22T15:48:48Z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0x0101003F48B8951B32C44A8ABF1C6EE626DEA0</vt:lpwstr>
  </property>
  <property fmtid="{D5CDD505-2E9C-101B-9397-08002B2CF9AE}" pid="3" name="Order">
    <vt:r8>89600</vt:r8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