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purl.oclc.org/ooxml/officeDocument/relationships/officeDocument" Target="xl/workbook.xml"/><Relationship Id="rId5" Type="http://purl.oclc.org/ooxml/officeDocument/relationships/customProperties" Target="docProps/custom.xml"/><Relationship Id="rId4" Type="http://purl.oclc.org/ooxml/officeDocument/relationships/extendedProperties" Target="docProps/app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filterPrivacy="1" defaultThemeVersion="124226"/>
  <xr:revisionPtr revIDLastSave="0" documentId="10_ncr:8_{233BF3C9-DB4B-4CC1-9C28-24BCFECE91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keholder Memo Table 3" sheetId="1" r:id="rId1"/>
    <sheet name="Stakeholder Memo Table 4" sheetId="8" r:id="rId2"/>
    <sheet name="Stakeholder Memo Table 5" sheetId="7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26" i="1" l="1"/>
  <c r="D163" i="1"/>
  <c r="D162" i="1"/>
  <c r="D161" i="1"/>
  <c r="D160" i="1"/>
  <c r="D159" i="1"/>
  <c r="D158" i="1"/>
  <c r="D157" i="1"/>
  <c r="D156" i="1"/>
  <c r="D155" i="1"/>
  <c r="D152" i="1"/>
  <c r="D151" i="1"/>
  <c r="D150" i="1"/>
  <c r="D149" i="1"/>
  <c r="D148" i="1"/>
  <c r="D147" i="1"/>
  <c r="D146" i="1"/>
  <c r="D138" i="1"/>
  <c r="D137" i="1"/>
  <c r="D136" i="1"/>
  <c r="D135" i="1"/>
  <c r="D134" i="1"/>
  <c r="D133" i="1"/>
  <c r="D132" i="1"/>
  <c r="D131" i="1"/>
  <c r="D130" i="1"/>
  <c r="D127" i="1"/>
  <c r="D126" i="1"/>
  <c r="D125" i="1"/>
  <c r="D124" i="1"/>
  <c r="D123" i="1"/>
  <c r="D122" i="1"/>
  <c r="D121" i="1"/>
  <c r="D119" i="1"/>
  <c r="D113" i="1"/>
  <c r="D112" i="1"/>
  <c r="D111" i="1"/>
  <c r="D110" i="1"/>
  <c r="D109" i="1"/>
  <c r="D108" i="1"/>
  <c r="D107" i="1"/>
  <c r="D106" i="1"/>
  <c r="D105" i="1"/>
  <c r="D102" i="1"/>
  <c r="D101" i="1"/>
  <c r="D100" i="1"/>
  <c r="D99" i="1"/>
  <c r="D98" i="1"/>
  <c r="D97" i="1"/>
  <c r="D96" i="1"/>
  <c r="D88" i="1"/>
  <c r="D87" i="1"/>
  <c r="D86" i="1"/>
  <c r="D85" i="1"/>
  <c r="D83" i="1"/>
  <c r="D84" i="1"/>
  <c r="D82" i="1"/>
  <c r="D81" i="1"/>
  <c r="D80" i="1"/>
  <c r="D77" i="1"/>
  <c r="D76" i="1"/>
  <c r="D75" i="1"/>
  <c r="D74" i="1"/>
  <c r="D73" i="1"/>
  <c r="D72" i="1"/>
  <c r="D71" i="1"/>
  <c r="D63" i="1"/>
  <c r="D62" i="1"/>
  <c r="D61" i="1"/>
  <c r="D60" i="1"/>
  <c r="D59" i="1"/>
  <c r="D58" i="1"/>
  <c r="D57" i="1"/>
  <c r="D56" i="1"/>
  <c r="D55" i="1"/>
  <c r="D52" i="1"/>
  <c r="D51" i="1"/>
  <c r="D50" i="1"/>
  <c r="D49" i="1"/>
  <c r="D48" i="1"/>
  <c r="D47" i="1"/>
  <c r="D46" i="1"/>
  <c r="D44" i="1"/>
  <c r="D45" i="1"/>
  <c r="D36" i="1"/>
  <c r="D38" i="1"/>
  <c r="D37" i="1"/>
  <c r="D32" i="1"/>
  <c r="D35" i="1"/>
  <c r="D34" i="1"/>
  <c r="D33" i="1"/>
  <c r="D31" i="1"/>
  <c r="D30" i="1"/>
  <c r="D27" i="1"/>
  <c r="D25" i="1"/>
  <c r="D24" i="1"/>
  <c r="D23" i="1"/>
  <c r="D22" i="1"/>
  <c r="D21" i="1"/>
  <c r="D145" i="1"/>
  <c r="C145" i="1"/>
  <c r="D144" i="1"/>
  <c r="C144" i="1"/>
  <c r="D120" i="1"/>
  <c r="C120" i="1"/>
  <c r="C119" i="1"/>
  <c r="D95" i="1"/>
  <c r="C95" i="1"/>
  <c r="D94" i="1"/>
  <c r="C94" i="1"/>
  <c r="D70" i="1"/>
  <c r="C70" i="1"/>
  <c r="D69" i="1"/>
  <c r="C69" i="1"/>
  <c r="C45" i="1"/>
  <c r="C44" i="1"/>
  <c r="D20" i="1"/>
  <c r="C20" i="1"/>
  <c r="C19" i="1"/>
  <c r="D19" i="1"/>
  <c r="Q23" i="7"/>
  <c r="I11" i="7"/>
  <c r="T159" i="7" s="1"/>
  <c r="I12" i="7"/>
  <c r="I14" i="7"/>
  <c r="U66" i="7" s="1"/>
  <c r="I13" i="7"/>
  <c r="V138" i="7" s="1"/>
  <c r="S86" i="7"/>
  <c r="I9" i="7"/>
  <c r="U102" i="7" s="1"/>
  <c r="I8" i="7"/>
  <c r="U75" i="7" s="1"/>
  <c r="I7" i="7"/>
  <c r="R49" i="7" s="1"/>
  <c r="I6" i="7"/>
  <c r="S152" i="7"/>
  <c r="R151" i="7"/>
  <c r="S149" i="7"/>
  <c r="T154" i="7"/>
  <c r="V150" i="7"/>
  <c r="U156" i="7"/>
  <c r="R123" i="7"/>
  <c r="U125" i="7"/>
  <c r="V125" i="7"/>
  <c r="S126" i="7"/>
  <c r="U127" i="7"/>
  <c r="V127" i="7"/>
  <c r="T139" i="7"/>
  <c r="U139" i="7"/>
  <c r="V139" i="7"/>
  <c r="R142" i="7"/>
  <c r="S142" i="7"/>
  <c r="T142" i="7"/>
  <c r="U98" i="7"/>
  <c r="V100" i="7"/>
  <c r="R101" i="7"/>
  <c r="T101" i="7"/>
  <c r="R102" i="7"/>
  <c r="S102" i="7"/>
  <c r="T102" i="7"/>
  <c r="V109" i="7"/>
  <c r="R110" i="7"/>
  <c r="S110" i="7"/>
  <c r="T114" i="7"/>
  <c r="U114" i="7"/>
  <c r="V114" i="7"/>
  <c r="R117" i="7"/>
  <c r="S117" i="7"/>
  <c r="T117" i="7"/>
  <c r="T74" i="7"/>
  <c r="R75" i="7"/>
  <c r="S75" i="7"/>
  <c r="T75" i="7"/>
  <c r="S76" i="7"/>
  <c r="T76" i="7"/>
  <c r="U76" i="7"/>
  <c r="V76" i="7"/>
  <c r="R77" i="7"/>
  <c r="S77" i="7"/>
  <c r="T77" i="7"/>
  <c r="U77" i="7"/>
  <c r="V77" i="7"/>
  <c r="R84" i="7"/>
  <c r="S85" i="7"/>
  <c r="T85" i="7"/>
  <c r="U85" i="7"/>
  <c r="V89" i="7"/>
  <c r="R90" i="7"/>
  <c r="S90" i="7"/>
  <c r="U90" i="7"/>
  <c r="T92" i="7"/>
  <c r="U92" i="7"/>
  <c r="V92" i="7"/>
  <c r="U48" i="7"/>
  <c r="R50" i="7"/>
  <c r="S50" i="7"/>
  <c r="R51" i="7"/>
  <c r="S51" i="7"/>
  <c r="T51" i="7"/>
  <c r="U51" i="7"/>
  <c r="V51" i="7"/>
  <c r="R52" i="7"/>
  <c r="S52" i="7"/>
  <c r="T52" i="7"/>
  <c r="U52" i="7"/>
  <c r="V52" i="7"/>
  <c r="R59" i="7"/>
  <c r="S59" i="7"/>
  <c r="T59" i="7"/>
  <c r="U60" i="7"/>
  <c r="V60" i="7"/>
  <c r="R64" i="7"/>
  <c r="S65" i="7"/>
  <c r="T65" i="7"/>
  <c r="U65" i="7"/>
  <c r="V67" i="7"/>
  <c r="T23" i="7"/>
  <c r="V24" i="7"/>
  <c r="S25" i="7"/>
  <c r="T25" i="7"/>
  <c r="U25" i="7"/>
  <c r="V25" i="7"/>
  <c r="S26" i="7"/>
  <c r="T26" i="7"/>
  <c r="U26" i="7"/>
  <c r="V26" i="7"/>
  <c r="S27" i="7"/>
  <c r="T27" i="7"/>
  <c r="U27" i="7"/>
  <c r="V27" i="7"/>
  <c r="V31" i="7"/>
  <c r="S34" i="7"/>
  <c r="T34" i="7"/>
  <c r="U34" i="7"/>
  <c r="T38" i="7"/>
  <c r="U38" i="7"/>
  <c r="V38" i="7"/>
  <c r="T40" i="7"/>
  <c r="U40" i="7"/>
  <c r="V40" i="7"/>
  <c r="R23" i="7"/>
  <c r="R24" i="7"/>
  <c r="R25" i="7"/>
  <c r="R26" i="7"/>
  <c r="R27" i="7"/>
  <c r="R42" i="7"/>
  <c r="Q167" i="7"/>
  <c r="Q165" i="7"/>
  <c r="Q152" i="7"/>
  <c r="Q151" i="7"/>
  <c r="Q150" i="7"/>
  <c r="Q142" i="7"/>
  <c r="Q140" i="7"/>
  <c r="Q138" i="7"/>
  <c r="Q134" i="7"/>
  <c r="Q127" i="7"/>
  <c r="Q126" i="7"/>
  <c r="Q125" i="7"/>
  <c r="Q124" i="7"/>
  <c r="Q113" i="7"/>
  <c r="Q109" i="7"/>
  <c r="Q102" i="7"/>
  <c r="Q101" i="7"/>
  <c r="Q100" i="7"/>
  <c r="Q98" i="7"/>
  <c r="Q90" i="7"/>
  <c r="Q88" i="7"/>
  <c r="Q85" i="7"/>
  <c r="Q84" i="7"/>
  <c r="Q77" i="7"/>
  <c r="Q76" i="7"/>
  <c r="Q75" i="7"/>
  <c r="Q74" i="7"/>
  <c r="Q65" i="7"/>
  <c r="Q64" i="7"/>
  <c r="Q63" i="7"/>
  <c r="Q59" i="7"/>
  <c r="Q52" i="7"/>
  <c r="Q51" i="7"/>
  <c r="Q50" i="7"/>
  <c r="Q48" i="7"/>
  <c r="Q42" i="7"/>
  <c r="Q40" i="7"/>
  <c r="Q38" i="7"/>
  <c r="Q34" i="7"/>
  <c r="Q31" i="7"/>
  <c r="Q27" i="7"/>
  <c r="Q26" i="7"/>
  <c r="Q25" i="7"/>
  <c r="N37" i="7"/>
  <c r="D53" i="1" l="1"/>
  <c r="Q67" i="7"/>
  <c r="Q89" i="7"/>
  <c r="Q110" i="7"/>
  <c r="R40" i="7"/>
  <c r="S40" i="7"/>
  <c r="V35" i="7"/>
  <c r="U67" i="7"/>
  <c r="R65" i="7"/>
  <c r="T60" i="7"/>
  <c r="S92" i="7"/>
  <c r="U89" i="7"/>
  <c r="R85" i="7"/>
  <c r="V115" i="7"/>
  <c r="S114" i="7"/>
  <c r="U109" i="7"/>
  <c r="V140" i="7"/>
  <c r="S139" i="7"/>
  <c r="R39" i="7"/>
  <c r="V42" i="7"/>
  <c r="V39" i="7"/>
  <c r="U35" i="7"/>
  <c r="T67" i="7"/>
  <c r="V64" i="7"/>
  <c r="S60" i="7"/>
  <c r="R92" i="7"/>
  <c r="T89" i="7"/>
  <c r="V84" i="7"/>
  <c r="U115" i="7"/>
  <c r="R114" i="7"/>
  <c r="T109" i="7"/>
  <c r="U140" i="7"/>
  <c r="R139" i="7"/>
  <c r="U159" i="7"/>
  <c r="Q35" i="7"/>
  <c r="Q92" i="7"/>
  <c r="Q114" i="7"/>
  <c r="Q135" i="7"/>
  <c r="Q159" i="7"/>
  <c r="R35" i="7"/>
  <c r="U42" i="7"/>
  <c r="U39" i="7"/>
  <c r="T35" i="7"/>
  <c r="S67" i="7"/>
  <c r="U64" i="7"/>
  <c r="R60" i="7"/>
  <c r="V90" i="7"/>
  <c r="S89" i="7"/>
  <c r="U84" i="7"/>
  <c r="T115" i="7"/>
  <c r="V110" i="7"/>
  <c r="S109" i="7"/>
  <c r="T140" i="7"/>
  <c r="T135" i="7"/>
  <c r="U167" i="7"/>
  <c r="Q115" i="7"/>
  <c r="Q160" i="7"/>
  <c r="R34" i="7"/>
  <c r="T42" i="7"/>
  <c r="T39" i="7"/>
  <c r="S35" i="7"/>
  <c r="R67" i="7"/>
  <c r="T64" i="7"/>
  <c r="V59" i="7"/>
  <c r="R89" i="7"/>
  <c r="T84" i="7"/>
  <c r="V117" i="7"/>
  <c r="S115" i="7"/>
  <c r="U110" i="7"/>
  <c r="R109" i="7"/>
  <c r="V142" i="7"/>
  <c r="S140" i="7"/>
  <c r="R134" i="7"/>
  <c r="S167" i="7"/>
  <c r="T167" i="7"/>
  <c r="Q39" i="7"/>
  <c r="Q60" i="7"/>
  <c r="Q117" i="7"/>
  <c r="Q139" i="7"/>
  <c r="Q164" i="7"/>
  <c r="S42" i="7"/>
  <c r="S39" i="7"/>
  <c r="V34" i="7"/>
  <c r="V65" i="7"/>
  <c r="S64" i="7"/>
  <c r="U59" i="7"/>
  <c r="T90" i="7"/>
  <c r="V85" i="7"/>
  <c r="S84" i="7"/>
  <c r="U117" i="7"/>
  <c r="R115" i="7"/>
  <c r="T110" i="7"/>
  <c r="U142" i="7"/>
  <c r="R140" i="7"/>
  <c r="U165" i="7"/>
  <c r="R164" i="7"/>
  <c r="U166" i="7"/>
  <c r="T63" i="7"/>
  <c r="S38" i="7"/>
  <c r="S63" i="7"/>
  <c r="V88" i="7"/>
  <c r="R38" i="7"/>
  <c r="R63" i="7"/>
  <c r="Q163" i="7"/>
  <c r="Q91" i="7"/>
  <c r="V91" i="7"/>
  <c r="Q116" i="7"/>
  <c r="U88" i="7"/>
  <c r="T88" i="7"/>
  <c r="U163" i="7"/>
  <c r="S113" i="7"/>
  <c r="S88" i="7"/>
  <c r="V113" i="7"/>
  <c r="R163" i="7"/>
  <c r="V163" i="7"/>
  <c r="V63" i="7"/>
  <c r="R88" i="7"/>
  <c r="R113" i="7"/>
  <c r="U63" i="7"/>
  <c r="R160" i="7"/>
  <c r="S159" i="7"/>
  <c r="S36" i="7"/>
  <c r="S162" i="7"/>
  <c r="Q136" i="7"/>
  <c r="V111" i="7"/>
  <c r="Q137" i="7"/>
  <c r="Q36" i="7"/>
  <c r="S111" i="7"/>
  <c r="R86" i="7"/>
  <c r="Q86" i="7"/>
  <c r="Q87" i="7"/>
  <c r="U111" i="7"/>
  <c r="Q37" i="7"/>
  <c r="R37" i="7"/>
  <c r="R62" i="7"/>
  <c r="V87" i="7"/>
  <c r="U87" i="7"/>
  <c r="R36" i="7"/>
  <c r="V37" i="7"/>
  <c r="V61" i="7"/>
  <c r="T162" i="7"/>
  <c r="T111" i="7"/>
  <c r="U37" i="7"/>
  <c r="U61" i="7"/>
  <c r="T86" i="7"/>
  <c r="T37" i="7"/>
  <c r="T61" i="7"/>
  <c r="Q62" i="7"/>
  <c r="Q111" i="7"/>
  <c r="Q161" i="7"/>
  <c r="U36" i="7"/>
  <c r="T62" i="7"/>
  <c r="R87" i="7"/>
  <c r="T112" i="7"/>
  <c r="T137" i="7"/>
  <c r="S37" i="7"/>
  <c r="V62" i="7"/>
  <c r="S61" i="7"/>
  <c r="T87" i="7"/>
  <c r="V112" i="7"/>
  <c r="R111" i="7"/>
  <c r="Q61" i="7"/>
  <c r="V36" i="7"/>
  <c r="U62" i="7"/>
  <c r="R61" i="7"/>
  <c r="S87" i="7"/>
  <c r="U112" i="7"/>
  <c r="Q112" i="7"/>
  <c r="Q162" i="7"/>
  <c r="T36" i="7"/>
  <c r="S62" i="7"/>
  <c r="V86" i="7"/>
  <c r="S112" i="7"/>
  <c r="U136" i="7"/>
  <c r="U86" i="7"/>
  <c r="R112" i="7"/>
  <c r="T136" i="7"/>
  <c r="T116" i="7"/>
  <c r="U113" i="7"/>
  <c r="T113" i="7"/>
  <c r="R162" i="7"/>
  <c r="U135" i="7"/>
  <c r="V165" i="7"/>
  <c r="S135" i="7"/>
  <c r="U164" i="7"/>
  <c r="V160" i="7"/>
  <c r="R135" i="7"/>
  <c r="T164" i="7"/>
  <c r="V159" i="7"/>
  <c r="V134" i="7"/>
  <c r="V167" i="7"/>
  <c r="S164" i="7"/>
  <c r="V152" i="7"/>
  <c r="R152" i="7"/>
  <c r="V102" i="7"/>
  <c r="S151" i="7"/>
  <c r="V50" i="7"/>
  <c r="R76" i="7"/>
  <c r="U150" i="7"/>
  <c r="U50" i="7"/>
  <c r="V75" i="7"/>
  <c r="T50" i="7"/>
  <c r="T106" i="7"/>
  <c r="U124" i="7"/>
  <c r="V56" i="7"/>
  <c r="V148" i="7"/>
  <c r="T56" i="7"/>
  <c r="Q66" i="7"/>
  <c r="V41" i="7"/>
  <c r="R66" i="7"/>
  <c r="S91" i="7"/>
  <c r="T166" i="7"/>
  <c r="U41" i="7"/>
  <c r="R91" i="7"/>
  <c r="S166" i="7"/>
  <c r="V141" i="7"/>
  <c r="Q41" i="7"/>
  <c r="S41" i="7"/>
  <c r="V116" i="7"/>
  <c r="U141" i="7"/>
  <c r="T41" i="7"/>
  <c r="R166" i="7"/>
  <c r="Q166" i="7"/>
  <c r="V66" i="7"/>
  <c r="V68" i="7" s="1"/>
  <c r="U116" i="7"/>
  <c r="T141" i="7"/>
  <c r="S141" i="7"/>
  <c r="R41" i="7"/>
  <c r="T66" i="7"/>
  <c r="U91" i="7"/>
  <c r="S116" i="7"/>
  <c r="R141" i="7"/>
  <c r="V166" i="7"/>
  <c r="Q141" i="7"/>
  <c r="S66" i="7"/>
  <c r="T91" i="7"/>
  <c r="R116" i="7"/>
  <c r="T163" i="7"/>
  <c r="S163" i="7"/>
  <c r="U138" i="7"/>
  <c r="T138" i="7"/>
  <c r="S138" i="7"/>
  <c r="R138" i="7"/>
  <c r="V137" i="7"/>
  <c r="S136" i="7"/>
  <c r="V161" i="7"/>
  <c r="U137" i="7"/>
  <c r="R136" i="7"/>
  <c r="U161" i="7"/>
  <c r="T161" i="7"/>
  <c r="S137" i="7"/>
  <c r="V162" i="7"/>
  <c r="S161" i="7"/>
  <c r="R137" i="7"/>
  <c r="U162" i="7"/>
  <c r="R161" i="7"/>
  <c r="V136" i="7"/>
  <c r="U134" i="7"/>
  <c r="R167" i="7"/>
  <c r="T165" i="7"/>
  <c r="U160" i="7"/>
  <c r="R159" i="7"/>
  <c r="T134" i="7"/>
  <c r="S165" i="7"/>
  <c r="T160" i="7"/>
  <c r="V135" i="7"/>
  <c r="S134" i="7"/>
  <c r="R165" i="7"/>
  <c r="S160" i="7"/>
  <c r="V164" i="7"/>
  <c r="T127" i="7"/>
  <c r="U152" i="7"/>
  <c r="S127" i="7"/>
  <c r="T152" i="7"/>
  <c r="R127" i="7"/>
  <c r="U100" i="7"/>
  <c r="T125" i="7"/>
  <c r="T150" i="7"/>
  <c r="T100" i="7"/>
  <c r="V126" i="7"/>
  <c r="S125" i="7"/>
  <c r="V151" i="7"/>
  <c r="S150" i="7"/>
  <c r="V101" i="7"/>
  <c r="S100" i="7"/>
  <c r="U126" i="7"/>
  <c r="R125" i="7"/>
  <c r="U151" i="7"/>
  <c r="R150" i="7"/>
  <c r="U101" i="7"/>
  <c r="R100" i="7"/>
  <c r="T126" i="7"/>
  <c r="T151" i="7"/>
  <c r="S101" i="7"/>
  <c r="R126" i="7"/>
  <c r="Q73" i="7"/>
  <c r="Q99" i="7"/>
  <c r="S23" i="7"/>
  <c r="U56" i="7"/>
  <c r="V48" i="7"/>
  <c r="U74" i="7"/>
  <c r="R73" i="7"/>
  <c r="U106" i="7"/>
  <c r="V98" i="7"/>
  <c r="R131" i="7"/>
  <c r="V124" i="7"/>
  <c r="S123" i="7"/>
  <c r="V156" i="7"/>
  <c r="R149" i="7"/>
  <c r="U31" i="7"/>
  <c r="U24" i="7"/>
  <c r="S56" i="7"/>
  <c r="T48" i="7"/>
  <c r="S74" i="7"/>
  <c r="S106" i="7"/>
  <c r="T98" i="7"/>
  <c r="T124" i="7"/>
  <c r="T156" i="7"/>
  <c r="U148" i="7"/>
  <c r="Q24" i="7"/>
  <c r="Q131" i="7"/>
  <c r="T31" i="7"/>
  <c r="T24" i="7"/>
  <c r="R56" i="7"/>
  <c r="V49" i="7"/>
  <c r="S48" i="7"/>
  <c r="V81" i="7"/>
  <c r="R74" i="7"/>
  <c r="R106" i="7"/>
  <c r="V99" i="7"/>
  <c r="S98" i="7"/>
  <c r="S124" i="7"/>
  <c r="S156" i="7"/>
  <c r="T148" i="7"/>
  <c r="Q106" i="7"/>
  <c r="S24" i="7"/>
  <c r="R48" i="7"/>
  <c r="V73" i="7"/>
  <c r="R98" i="7"/>
  <c r="R124" i="7"/>
  <c r="R156" i="7"/>
  <c r="S148" i="7"/>
  <c r="Q81" i="7"/>
  <c r="Q148" i="7"/>
  <c r="R31" i="7"/>
  <c r="V23" i="7"/>
  <c r="T49" i="7"/>
  <c r="T81" i="7"/>
  <c r="U73" i="7"/>
  <c r="T99" i="7"/>
  <c r="U131" i="7"/>
  <c r="V123" i="7"/>
  <c r="U149" i="7"/>
  <c r="R148" i="7"/>
  <c r="Q49" i="7"/>
  <c r="Q156" i="7"/>
  <c r="S31" i="7"/>
  <c r="U49" i="7"/>
  <c r="U81" i="7"/>
  <c r="U99" i="7"/>
  <c r="V131" i="7"/>
  <c r="V149" i="7"/>
  <c r="Q56" i="7"/>
  <c r="Q123" i="7"/>
  <c r="Q149" i="7"/>
  <c r="U23" i="7"/>
  <c r="S49" i="7"/>
  <c r="S81" i="7"/>
  <c r="T73" i="7"/>
  <c r="S99" i="7"/>
  <c r="T131" i="7"/>
  <c r="U123" i="7"/>
  <c r="T149" i="7"/>
  <c r="R81" i="7"/>
  <c r="V74" i="7"/>
  <c r="S73" i="7"/>
  <c r="V106" i="7"/>
  <c r="R99" i="7"/>
  <c r="S131" i="7"/>
  <c r="T123" i="7"/>
  <c r="R154" i="7"/>
  <c r="U55" i="7"/>
  <c r="R130" i="7"/>
  <c r="Q55" i="7"/>
  <c r="Q155" i="7"/>
  <c r="T29" i="7"/>
  <c r="T55" i="7"/>
  <c r="V53" i="7"/>
  <c r="T79" i="7"/>
  <c r="S105" i="7"/>
  <c r="U103" i="7"/>
  <c r="V129" i="7"/>
  <c r="S128" i="7"/>
  <c r="T155" i="7"/>
  <c r="V153" i="7"/>
  <c r="V55" i="7"/>
  <c r="U128" i="7"/>
  <c r="R78" i="7"/>
  <c r="Q79" i="7"/>
  <c r="S29" i="7"/>
  <c r="S55" i="7"/>
  <c r="U53" i="7"/>
  <c r="V80" i="7"/>
  <c r="S79" i="7"/>
  <c r="R105" i="7"/>
  <c r="T103" i="7"/>
  <c r="U129" i="7"/>
  <c r="R128" i="7"/>
  <c r="S155" i="7"/>
  <c r="U153" i="7"/>
  <c r="Q130" i="7"/>
  <c r="V29" i="7"/>
  <c r="R104" i="7"/>
  <c r="Q54" i="7"/>
  <c r="U29" i="7"/>
  <c r="R54" i="7"/>
  <c r="U79" i="7"/>
  <c r="T105" i="7"/>
  <c r="T128" i="7"/>
  <c r="Q80" i="7"/>
  <c r="V28" i="7"/>
  <c r="R55" i="7"/>
  <c r="T53" i="7"/>
  <c r="U80" i="7"/>
  <c r="R79" i="7"/>
  <c r="V104" i="7"/>
  <c r="S103" i="7"/>
  <c r="T129" i="7"/>
  <c r="R155" i="7"/>
  <c r="T153" i="7"/>
  <c r="Q53" i="7"/>
  <c r="R29" i="7"/>
  <c r="S78" i="7"/>
  <c r="V155" i="7"/>
  <c r="Q78" i="7"/>
  <c r="Q103" i="7"/>
  <c r="Q104" i="7"/>
  <c r="U30" i="7"/>
  <c r="U28" i="7"/>
  <c r="V54" i="7"/>
  <c r="S53" i="7"/>
  <c r="T80" i="7"/>
  <c r="V78" i="7"/>
  <c r="U104" i="7"/>
  <c r="R103" i="7"/>
  <c r="V130" i="7"/>
  <c r="S129" i="7"/>
  <c r="V154" i="7"/>
  <c r="S153" i="7"/>
  <c r="Q153" i="7"/>
  <c r="R28" i="7"/>
  <c r="U155" i="7"/>
  <c r="V30" i="7"/>
  <c r="Q28" i="7"/>
  <c r="Q105" i="7"/>
  <c r="Q128" i="7"/>
  <c r="T30" i="7"/>
  <c r="T28" i="7"/>
  <c r="U54" i="7"/>
  <c r="R53" i="7"/>
  <c r="S80" i="7"/>
  <c r="U78" i="7"/>
  <c r="T104" i="7"/>
  <c r="U130" i="7"/>
  <c r="R129" i="7"/>
  <c r="U154" i="7"/>
  <c r="R153" i="7"/>
  <c r="Q30" i="7"/>
  <c r="S54" i="7"/>
  <c r="V79" i="7"/>
  <c r="U105" i="7"/>
  <c r="S130" i="7"/>
  <c r="S154" i="7"/>
  <c r="Q154" i="7"/>
  <c r="V103" i="7"/>
  <c r="Q29" i="7"/>
  <c r="Q129" i="7"/>
  <c r="R30" i="7"/>
  <c r="S30" i="7"/>
  <c r="S28" i="7"/>
  <c r="T54" i="7"/>
  <c r="R80" i="7"/>
  <c r="T78" i="7"/>
  <c r="V105" i="7"/>
  <c r="S104" i="7"/>
  <c r="T130" i="7"/>
  <c r="V128" i="7"/>
  <c r="C8" i="8"/>
  <c r="C9" i="8"/>
  <c r="C10" i="8"/>
  <c r="C11" i="8"/>
  <c r="C12" i="8"/>
  <c r="C7" i="8"/>
  <c r="V118" i="7" l="1"/>
  <c r="S93" i="7"/>
  <c r="U118" i="7"/>
  <c r="T118" i="7"/>
  <c r="S118" i="7"/>
  <c r="U43" i="7"/>
  <c r="R68" i="7"/>
  <c r="T68" i="7"/>
  <c r="U93" i="7"/>
  <c r="U94" i="7" s="1"/>
  <c r="R43" i="7"/>
  <c r="R93" i="7"/>
  <c r="V93" i="7"/>
  <c r="U68" i="7"/>
  <c r="S43" i="7"/>
  <c r="T93" i="7"/>
  <c r="V43" i="7"/>
  <c r="R118" i="7"/>
  <c r="V168" i="7"/>
  <c r="S68" i="7"/>
  <c r="T43" i="7"/>
  <c r="T44" i="7" s="1"/>
  <c r="T143" i="7"/>
  <c r="T168" i="7"/>
  <c r="S168" i="7"/>
  <c r="V143" i="7"/>
  <c r="V144" i="7" s="1"/>
  <c r="U168" i="7"/>
  <c r="T32" i="7"/>
  <c r="V132" i="7"/>
  <c r="U82" i="7"/>
  <c r="R57" i="7"/>
  <c r="S82" i="7"/>
  <c r="R32" i="7"/>
  <c r="R168" i="7"/>
  <c r="S143" i="7"/>
  <c r="R143" i="7"/>
  <c r="U143" i="7"/>
  <c r="U157" i="7"/>
  <c r="V157" i="7"/>
  <c r="S157" i="7"/>
  <c r="U107" i="7"/>
  <c r="R132" i="7"/>
  <c r="Q57" i="7"/>
  <c r="R157" i="7"/>
  <c r="U57" i="7"/>
  <c r="Q157" i="7"/>
  <c r="S32" i="7"/>
  <c r="S132" i="7"/>
  <c r="T132" i="7"/>
  <c r="V82" i="7"/>
  <c r="Q82" i="7"/>
  <c r="T82" i="7"/>
  <c r="V107" i="7"/>
  <c r="S107" i="7"/>
  <c r="Q132" i="7"/>
  <c r="S57" i="7"/>
  <c r="R107" i="7"/>
  <c r="Q107" i="7"/>
  <c r="T157" i="7"/>
  <c r="R82" i="7"/>
  <c r="U132" i="7"/>
  <c r="T57" i="7"/>
  <c r="V57" i="7"/>
  <c r="V69" i="7" s="1"/>
  <c r="V32" i="7"/>
  <c r="T107" i="7"/>
  <c r="U32" i="7"/>
  <c r="B13" i="1"/>
  <c r="C23" i="7"/>
  <c r="B32" i="7"/>
  <c r="V119" i="7" l="1"/>
  <c r="R94" i="7"/>
  <c r="S94" i="7"/>
  <c r="U119" i="7"/>
  <c r="S44" i="7"/>
  <c r="R119" i="7"/>
  <c r="V169" i="7"/>
  <c r="T119" i="7"/>
  <c r="T69" i="7"/>
  <c r="R69" i="7"/>
  <c r="U44" i="7"/>
  <c r="S119" i="7"/>
  <c r="R44" i="7"/>
  <c r="U69" i="7"/>
  <c r="T94" i="7"/>
  <c r="T169" i="7"/>
  <c r="V44" i="7"/>
  <c r="V94" i="7"/>
  <c r="T144" i="7"/>
  <c r="S69" i="7"/>
  <c r="S169" i="7"/>
  <c r="R169" i="7"/>
  <c r="R144" i="7"/>
  <c r="S144" i="7"/>
  <c r="U169" i="7"/>
  <c r="U144" i="7"/>
  <c r="H8" i="1"/>
  <c r="H9" i="1"/>
  <c r="H10" i="1"/>
  <c r="H12" i="1"/>
  <c r="H13" i="1"/>
  <c r="H14" i="1"/>
  <c r="H15" i="1"/>
  <c r="H7" i="1"/>
  <c r="C13" i="8" l="1"/>
  <c r="D13" i="8" l="1"/>
  <c r="D89" i="1"/>
  <c r="D39" i="1"/>
  <c r="D114" i="1"/>
  <c r="D78" i="1"/>
  <c r="D164" i="1"/>
  <c r="D153" i="1"/>
  <c r="D139" i="1"/>
  <c r="D128" i="1"/>
  <c r="D103" i="1"/>
  <c r="D28" i="1"/>
  <c r="D40" i="1" l="1"/>
  <c r="D7" i="1" s="1"/>
  <c r="D115" i="1"/>
  <c r="D10" i="1" s="1"/>
  <c r="D90" i="1"/>
  <c r="D9" i="1" s="1"/>
  <c r="D165" i="1"/>
  <c r="D12" i="1" s="1"/>
  <c r="D140" i="1"/>
  <c r="D11" i="1" s="1"/>
  <c r="J36" i="7" l="1"/>
  <c r="K36" i="7"/>
  <c r="L36" i="7"/>
  <c r="M36" i="7"/>
  <c r="J34" i="7"/>
  <c r="K34" i="7"/>
  <c r="L34" i="7"/>
  <c r="M34" i="7"/>
  <c r="M157" i="7"/>
  <c r="B82" i="7" l="1"/>
  <c r="B139" i="1" l="1"/>
  <c r="B128" i="1"/>
  <c r="C109" i="7"/>
  <c r="C110" i="7"/>
  <c r="C112" i="7"/>
  <c r="C113" i="7"/>
  <c r="C103" i="7"/>
  <c r="C102" i="7"/>
  <c r="C99" i="7"/>
  <c r="C98" i="7"/>
  <c r="C91" i="7"/>
  <c r="C89" i="7"/>
  <c r="C85" i="7"/>
  <c r="C84" i="7"/>
  <c r="C135" i="7"/>
  <c r="C134" i="7"/>
  <c r="C66" i="7"/>
  <c r="C60" i="7"/>
  <c r="C59" i="7"/>
  <c r="C166" i="7"/>
  <c r="C164" i="7"/>
  <c r="C160" i="7"/>
  <c r="C159" i="7"/>
  <c r="J51" i="7"/>
  <c r="K51" i="7" s="1"/>
  <c r="L51" i="7" s="1"/>
  <c r="M51" i="7" s="1"/>
  <c r="C63" i="7"/>
  <c r="N58" i="7"/>
  <c r="O58" i="7"/>
  <c r="N57" i="7"/>
  <c r="I49" i="7" s="1"/>
  <c r="C53" i="7" s="1"/>
  <c r="O57" i="7"/>
  <c r="M58" i="7"/>
  <c r="M57" i="7"/>
  <c r="AE68" i="7"/>
  <c r="AE57" i="7"/>
  <c r="M158" i="7"/>
  <c r="N158" i="7"/>
  <c r="L149" i="7" s="1"/>
  <c r="O158" i="7"/>
  <c r="M159" i="7"/>
  <c r="N159" i="7"/>
  <c r="O159" i="7"/>
  <c r="O157" i="7"/>
  <c r="J150" i="7" s="1"/>
  <c r="N157" i="7"/>
  <c r="I149" i="7" s="1"/>
  <c r="AE168" i="7"/>
  <c r="AD168" i="7"/>
  <c r="AE157" i="7"/>
  <c r="AD157" i="7"/>
  <c r="C73" i="7"/>
  <c r="C74" i="7"/>
  <c r="C75" i="7"/>
  <c r="C76" i="7"/>
  <c r="C77" i="7"/>
  <c r="C78" i="7"/>
  <c r="C86" i="7"/>
  <c r="C87" i="7"/>
  <c r="C88" i="7"/>
  <c r="C90" i="7"/>
  <c r="C92" i="7"/>
  <c r="AE82" i="7"/>
  <c r="AD82" i="7"/>
  <c r="AE93" i="7"/>
  <c r="AD93" i="7"/>
  <c r="C123" i="7"/>
  <c r="C124" i="7"/>
  <c r="C126" i="7"/>
  <c r="C127" i="7"/>
  <c r="C128" i="7"/>
  <c r="C142" i="7"/>
  <c r="C136" i="7"/>
  <c r="C137" i="7"/>
  <c r="C138" i="7"/>
  <c r="AE143" i="7"/>
  <c r="AD143" i="7"/>
  <c r="AE132" i="7"/>
  <c r="AD132" i="7"/>
  <c r="AE107" i="7"/>
  <c r="AD107" i="7"/>
  <c r="AD118" i="7"/>
  <c r="AC118" i="7"/>
  <c r="AE118" i="7"/>
  <c r="C24" i="7"/>
  <c r="C25" i="7"/>
  <c r="C26" i="7"/>
  <c r="C27" i="7"/>
  <c r="C28" i="7"/>
  <c r="C30" i="7"/>
  <c r="C31" i="7"/>
  <c r="J32" i="7"/>
  <c r="J33" i="7"/>
  <c r="J35" i="7"/>
  <c r="K32" i="7"/>
  <c r="K33" i="7"/>
  <c r="K35" i="7"/>
  <c r="L32" i="7"/>
  <c r="L33" i="7"/>
  <c r="L35" i="7"/>
  <c r="M32" i="7"/>
  <c r="M33" i="7"/>
  <c r="M35" i="7"/>
  <c r="C37" i="7"/>
  <c r="C42" i="7"/>
  <c r="AE43" i="7"/>
  <c r="AD43" i="7"/>
  <c r="AE32" i="7"/>
  <c r="AD32" i="7"/>
  <c r="B93" i="7"/>
  <c r="B68" i="7"/>
  <c r="B57" i="7"/>
  <c r="AB118" i="7"/>
  <c r="AA118" i="7"/>
  <c r="Z118" i="7"/>
  <c r="Y118" i="7"/>
  <c r="AC107" i="7"/>
  <c r="AB107" i="7"/>
  <c r="AA107" i="7"/>
  <c r="Z107" i="7"/>
  <c r="Y107" i="7"/>
  <c r="AC93" i="7"/>
  <c r="AB93" i="7"/>
  <c r="AA93" i="7"/>
  <c r="Z93" i="7"/>
  <c r="Y93" i="7"/>
  <c r="AC82" i="7"/>
  <c r="AB82" i="7"/>
  <c r="AA82" i="7"/>
  <c r="Z82" i="7"/>
  <c r="Y82" i="7"/>
  <c r="AC143" i="7"/>
  <c r="AB143" i="7"/>
  <c r="AA143" i="7"/>
  <c r="Z143" i="7"/>
  <c r="Y143" i="7"/>
  <c r="AC132" i="7"/>
  <c r="AB132" i="7"/>
  <c r="AA132" i="7"/>
  <c r="Z132" i="7"/>
  <c r="Y132" i="7"/>
  <c r="AD68" i="7"/>
  <c r="AC68" i="7"/>
  <c r="AB68" i="7"/>
  <c r="AA68" i="7"/>
  <c r="Z66" i="7"/>
  <c r="Z68" i="7" s="1"/>
  <c r="Y68" i="7"/>
  <c r="AD57" i="7"/>
  <c r="AC57" i="7"/>
  <c r="AB57" i="7"/>
  <c r="AA57" i="7"/>
  <c r="Z57" i="7"/>
  <c r="Y57" i="7"/>
  <c r="AC168" i="7"/>
  <c r="AB168" i="7"/>
  <c r="AA168" i="7"/>
  <c r="Z168" i="7"/>
  <c r="Y168" i="7"/>
  <c r="AC157" i="7"/>
  <c r="AA157" i="7"/>
  <c r="Z157" i="7"/>
  <c r="Y157" i="7"/>
  <c r="AC43" i="7"/>
  <c r="AB43" i="7"/>
  <c r="AA43" i="7"/>
  <c r="Z43" i="7"/>
  <c r="Y43" i="7"/>
  <c r="AA32" i="7"/>
  <c r="Z32" i="7"/>
  <c r="AB27" i="7"/>
  <c r="AB32" i="7" s="1"/>
  <c r="AC32" i="7"/>
  <c r="Y32" i="7"/>
  <c r="C100" i="7"/>
  <c r="C101" i="7"/>
  <c r="C104" i="7"/>
  <c r="C163" i="7"/>
  <c r="C151" i="7"/>
  <c r="C152" i="7"/>
  <c r="C51" i="7"/>
  <c r="C162" i="7"/>
  <c r="B157" i="7"/>
  <c r="B168" i="7"/>
  <c r="B107" i="7"/>
  <c r="C56" i="7"/>
  <c r="B132" i="7"/>
  <c r="B78" i="1"/>
  <c r="B28" i="1"/>
  <c r="B153" i="1"/>
  <c r="B143" i="7"/>
  <c r="B53" i="1"/>
  <c r="C62" i="7"/>
  <c r="B118" i="7"/>
  <c r="B43" i="7"/>
  <c r="C26" i="1"/>
  <c r="C24" i="1"/>
  <c r="B64" i="1"/>
  <c r="C124" i="1"/>
  <c r="B103" i="1"/>
  <c r="B114" i="1"/>
  <c r="B89" i="1"/>
  <c r="B164" i="1"/>
  <c r="B39" i="1"/>
  <c r="C153" i="7" l="1"/>
  <c r="D137" i="7"/>
  <c r="J37" i="7"/>
  <c r="M37" i="7"/>
  <c r="L37" i="7"/>
  <c r="K37" i="7"/>
  <c r="C149" i="1"/>
  <c r="C99" i="1"/>
  <c r="C25" i="1"/>
  <c r="C50" i="1"/>
  <c r="C150" i="1"/>
  <c r="D110" i="7"/>
  <c r="D109" i="7"/>
  <c r="I150" i="7"/>
  <c r="C149" i="7" s="1"/>
  <c r="D56" i="7"/>
  <c r="D26" i="7"/>
  <c r="D128" i="7"/>
  <c r="D77" i="7"/>
  <c r="D127" i="7"/>
  <c r="D42" i="7"/>
  <c r="D126" i="7"/>
  <c r="D75" i="7"/>
  <c r="D112" i="7"/>
  <c r="D152" i="7"/>
  <c r="D73" i="7"/>
  <c r="D162" i="7"/>
  <c r="D104" i="7"/>
  <c r="D92" i="7"/>
  <c r="D101" i="7"/>
  <c r="D138" i="7"/>
  <c r="D90" i="7"/>
  <c r="D98" i="7"/>
  <c r="D51" i="7"/>
  <c r="D37" i="7"/>
  <c r="D124" i="7"/>
  <c r="D74" i="7"/>
  <c r="D151" i="7"/>
  <c r="D100" i="7"/>
  <c r="D88" i="7"/>
  <c r="D99" i="7"/>
  <c r="D62" i="7"/>
  <c r="D30" i="7"/>
  <c r="D87" i="7"/>
  <c r="D102" i="7"/>
  <c r="D28" i="7"/>
  <c r="D136" i="7"/>
  <c r="D103" i="7"/>
  <c r="D25" i="7"/>
  <c r="D76" i="7"/>
  <c r="D31" i="7"/>
  <c r="D27" i="7"/>
  <c r="D113" i="7"/>
  <c r="C49" i="1"/>
  <c r="C159" i="1"/>
  <c r="C74" i="1"/>
  <c r="C100" i="1"/>
  <c r="D23" i="7"/>
  <c r="D24" i="7"/>
  <c r="D160" i="7"/>
  <c r="D85" i="7"/>
  <c r="C168" i="7"/>
  <c r="C82" i="7"/>
  <c r="D63" i="7"/>
  <c r="J149" i="7"/>
  <c r="D153" i="7" s="1"/>
  <c r="M149" i="7"/>
  <c r="D159" i="7"/>
  <c r="D89" i="7"/>
  <c r="D84" i="7"/>
  <c r="K50" i="7"/>
  <c r="L50" i="7"/>
  <c r="M50" i="7"/>
  <c r="K49" i="7"/>
  <c r="L49" i="7"/>
  <c r="M49" i="7"/>
  <c r="D78" i="7"/>
  <c r="C118" i="7"/>
  <c r="C93" i="7"/>
  <c r="D164" i="7"/>
  <c r="D86" i="7"/>
  <c r="D166" i="7"/>
  <c r="C107" i="7"/>
  <c r="D163" i="7"/>
  <c r="J48" i="7"/>
  <c r="I48" i="7"/>
  <c r="C52" i="7" s="1"/>
  <c r="M48" i="7"/>
  <c r="L48" i="7"/>
  <c r="K48" i="7"/>
  <c r="C68" i="7"/>
  <c r="D59" i="7"/>
  <c r="D66" i="7"/>
  <c r="D60" i="7"/>
  <c r="K149" i="7"/>
  <c r="J50" i="7"/>
  <c r="I50" i="7"/>
  <c r="D123" i="7"/>
  <c r="K150" i="7"/>
  <c r="L150" i="7"/>
  <c r="C143" i="7"/>
  <c r="C132" i="7"/>
  <c r="D142" i="7"/>
  <c r="J49" i="7"/>
  <c r="D53" i="7" s="1"/>
  <c r="M150" i="7"/>
  <c r="D91" i="7"/>
  <c r="C33" i="7"/>
  <c r="C59" i="1"/>
  <c r="C83" i="1"/>
  <c r="C51" i="1"/>
  <c r="C75" i="1"/>
  <c r="C132" i="1"/>
  <c r="C33" i="1"/>
  <c r="C76" i="1"/>
  <c r="C58" i="1"/>
  <c r="C157" i="1"/>
  <c r="C108" i="1"/>
  <c r="C101" i="1"/>
  <c r="C151" i="1"/>
  <c r="C133" i="1"/>
  <c r="C126" i="1"/>
  <c r="C158" i="1"/>
  <c r="C125" i="1"/>
  <c r="C37" i="1"/>
  <c r="C134" i="1"/>
  <c r="C57" i="1"/>
  <c r="C137" i="1"/>
  <c r="C109" i="1"/>
  <c r="C62" i="1"/>
  <c r="C34" i="1"/>
  <c r="C87" i="1"/>
  <c r="C84" i="1"/>
  <c r="C162" i="1"/>
  <c r="C82" i="1"/>
  <c r="C23" i="1"/>
  <c r="C73" i="1"/>
  <c r="C48" i="1"/>
  <c r="C148" i="1"/>
  <c r="C123" i="1"/>
  <c r="C98" i="1"/>
  <c r="C113" i="1"/>
  <c r="C88" i="1"/>
  <c r="C110" i="1"/>
  <c r="C63" i="1"/>
  <c r="D64" i="1" s="1"/>
  <c r="D65" i="1" s="1"/>
  <c r="D8" i="1" s="1"/>
  <c r="D13" i="1" s="1"/>
  <c r="C135" i="1"/>
  <c r="C136" i="1"/>
  <c r="C155" i="1"/>
  <c r="C80" i="1"/>
  <c r="C86" i="1"/>
  <c r="C35" i="1"/>
  <c r="C138" i="1"/>
  <c r="C81" i="1"/>
  <c r="C111" i="1"/>
  <c r="C161" i="1"/>
  <c r="C36" i="1"/>
  <c r="C56" i="1"/>
  <c r="C131" i="1"/>
  <c r="C30" i="1"/>
  <c r="C60" i="1"/>
  <c r="C130" i="1"/>
  <c r="C31" i="1"/>
  <c r="C61" i="1"/>
  <c r="C106" i="1"/>
  <c r="C38" i="1"/>
  <c r="C160" i="1"/>
  <c r="C105" i="1"/>
  <c r="C55" i="1"/>
  <c r="C163" i="1"/>
  <c r="C156" i="1"/>
  <c r="C85" i="1"/>
  <c r="C32" i="1"/>
  <c r="C107" i="1"/>
  <c r="C112" i="1"/>
  <c r="D135" i="7"/>
  <c r="D134" i="7"/>
  <c r="E137" i="7" l="1"/>
  <c r="C148" i="7"/>
  <c r="E87" i="7"/>
  <c r="E109" i="7"/>
  <c r="D118" i="7"/>
  <c r="E37" i="7"/>
  <c r="D107" i="7"/>
  <c r="E110" i="7"/>
  <c r="E77" i="7"/>
  <c r="E128" i="7"/>
  <c r="E112" i="7"/>
  <c r="E27" i="7"/>
  <c r="E28" i="7"/>
  <c r="E136" i="7"/>
  <c r="E104" i="7"/>
  <c r="F104" i="7" s="1"/>
  <c r="E100" i="7"/>
  <c r="E42" i="7"/>
  <c r="E151" i="7"/>
  <c r="E90" i="7"/>
  <c r="E127" i="7"/>
  <c r="E162" i="7"/>
  <c r="E138" i="7"/>
  <c r="E101" i="7"/>
  <c r="E23" i="7"/>
  <c r="E63" i="7"/>
  <c r="E88" i="7"/>
  <c r="E92" i="7"/>
  <c r="E75" i="7"/>
  <c r="E98" i="7"/>
  <c r="E56" i="7"/>
  <c r="E25" i="7"/>
  <c r="E30" i="7"/>
  <c r="E73" i="7"/>
  <c r="E82" i="7" s="1"/>
  <c r="E103" i="7"/>
  <c r="E152" i="7"/>
  <c r="E78" i="7"/>
  <c r="E113" i="7"/>
  <c r="F37" i="7"/>
  <c r="E99" i="7"/>
  <c r="E124" i="7"/>
  <c r="E31" i="7"/>
  <c r="E102" i="7"/>
  <c r="E51" i="7"/>
  <c r="E126" i="7"/>
  <c r="E26" i="7"/>
  <c r="E74" i="7"/>
  <c r="E62" i="7"/>
  <c r="E163" i="7"/>
  <c r="E76" i="7"/>
  <c r="E160" i="7"/>
  <c r="E24" i="7"/>
  <c r="D32" i="7"/>
  <c r="E142" i="7"/>
  <c r="E91" i="7"/>
  <c r="E153" i="7"/>
  <c r="E166" i="7"/>
  <c r="E159" i="7"/>
  <c r="E86" i="7"/>
  <c r="D168" i="7"/>
  <c r="E164" i="7"/>
  <c r="D132" i="7"/>
  <c r="E123" i="7"/>
  <c r="E84" i="7"/>
  <c r="E60" i="7"/>
  <c r="D82" i="7"/>
  <c r="E85" i="7"/>
  <c r="D52" i="7"/>
  <c r="E89" i="7"/>
  <c r="E66" i="7"/>
  <c r="E53" i="7"/>
  <c r="E59" i="7"/>
  <c r="D68" i="7"/>
  <c r="D93" i="7"/>
  <c r="C48" i="7"/>
  <c r="C49" i="7"/>
  <c r="Q93" i="7"/>
  <c r="Q43" i="7"/>
  <c r="Q168" i="7"/>
  <c r="C122" i="1"/>
  <c r="C97" i="1"/>
  <c r="C21" i="1"/>
  <c r="C96" i="1"/>
  <c r="C71" i="1"/>
  <c r="C46" i="1"/>
  <c r="C146" i="1"/>
  <c r="C72" i="1"/>
  <c r="C147" i="1"/>
  <c r="C121" i="1"/>
  <c r="C22" i="1"/>
  <c r="C47" i="1"/>
  <c r="C52" i="1"/>
  <c r="C102" i="1"/>
  <c r="C152" i="1"/>
  <c r="C27" i="1"/>
  <c r="C77" i="1"/>
  <c r="C127" i="1"/>
  <c r="Q118" i="7"/>
  <c r="Q143" i="7"/>
  <c r="C139" i="1"/>
  <c r="Q68" i="7"/>
  <c r="C164" i="1"/>
  <c r="C39" i="1"/>
  <c r="C64" i="1"/>
  <c r="C114" i="1"/>
  <c r="C89" i="1"/>
  <c r="D143" i="7"/>
  <c r="E134" i="7"/>
  <c r="E135" i="7"/>
  <c r="F137" i="7" l="1"/>
  <c r="C157" i="7"/>
  <c r="D148" i="7"/>
  <c r="D149" i="7"/>
  <c r="F27" i="7"/>
  <c r="F62" i="7"/>
  <c r="C153" i="1"/>
  <c r="C165" i="1" s="1"/>
  <c r="C12" i="1" s="1"/>
  <c r="F112" i="7"/>
  <c r="F109" i="7"/>
  <c r="F128" i="7"/>
  <c r="E118" i="7"/>
  <c r="F136" i="7"/>
  <c r="F28" i="7"/>
  <c r="F110" i="7"/>
  <c r="E32" i="7"/>
  <c r="E107" i="7"/>
  <c r="F126" i="7"/>
  <c r="F127" i="7"/>
  <c r="F51" i="7"/>
  <c r="F30" i="7"/>
  <c r="F162" i="7"/>
  <c r="F113" i="7"/>
  <c r="F25" i="7"/>
  <c r="F63" i="7"/>
  <c r="F151" i="7"/>
  <c r="F99" i="7"/>
  <c r="F23" i="7"/>
  <c r="E132" i="7"/>
  <c r="F153" i="7"/>
  <c r="G37" i="7"/>
  <c r="F163" i="7"/>
  <c r="F102" i="7"/>
  <c r="F56" i="7"/>
  <c r="F42" i="7"/>
  <c r="F24" i="7"/>
  <c r="F101" i="7"/>
  <c r="F138" i="7"/>
  <c r="F26" i="7"/>
  <c r="F103" i="7"/>
  <c r="F31" i="7"/>
  <c r="F152" i="7"/>
  <c r="F98" i="7"/>
  <c r="F100" i="7"/>
  <c r="F124" i="7"/>
  <c r="F123" i="7"/>
  <c r="E52" i="7"/>
  <c r="F160" i="7"/>
  <c r="E168" i="7"/>
  <c r="F159" i="7"/>
  <c r="F164" i="7"/>
  <c r="F166" i="7"/>
  <c r="F59" i="7"/>
  <c r="E68" i="7"/>
  <c r="F53" i="7"/>
  <c r="F60" i="7"/>
  <c r="G104" i="7"/>
  <c r="F66" i="7"/>
  <c r="D49" i="7"/>
  <c r="D48" i="7"/>
  <c r="C57" i="7"/>
  <c r="E93" i="7"/>
  <c r="C128" i="1"/>
  <c r="C140" i="1" s="1"/>
  <c r="C11" i="1" s="1"/>
  <c r="C8" i="7"/>
  <c r="C28" i="1"/>
  <c r="C40" i="1" s="1"/>
  <c r="C7" i="1" s="1"/>
  <c r="Q119" i="7"/>
  <c r="B9" i="7" s="1"/>
  <c r="C78" i="1"/>
  <c r="C90" i="1" s="1"/>
  <c r="C9" i="1" s="1"/>
  <c r="C103" i="1"/>
  <c r="C115" i="1" s="1"/>
  <c r="C10" i="1" s="1"/>
  <c r="C53" i="1"/>
  <c r="C65" i="1" s="1"/>
  <c r="C8" i="1" s="1"/>
  <c r="C10" i="7"/>
  <c r="Q144" i="7"/>
  <c r="B10" i="7" s="1"/>
  <c r="Q69" i="7"/>
  <c r="B7" i="7" s="1"/>
  <c r="D9" i="7"/>
  <c r="Q94" i="7"/>
  <c r="B8" i="7" s="1"/>
  <c r="C9" i="7"/>
  <c r="Q169" i="7"/>
  <c r="B11" i="7" s="1"/>
  <c r="C11" i="7"/>
  <c r="Q32" i="7"/>
  <c r="Q44" i="7" s="1"/>
  <c r="B6" i="7" s="1"/>
  <c r="F135" i="7"/>
  <c r="F134" i="7"/>
  <c r="E143" i="7"/>
  <c r="F142" i="7"/>
  <c r="C13" i="1" l="1"/>
  <c r="B12" i="7"/>
  <c r="G137" i="7"/>
  <c r="D11" i="7"/>
  <c r="E148" i="7"/>
  <c r="E149" i="7"/>
  <c r="D157" i="7"/>
  <c r="G27" i="7"/>
  <c r="G128" i="7"/>
  <c r="G62" i="7"/>
  <c r="G109" i="7"/>
  <c r="G112" i="7"/>
  <c r="G136" i="7"/>
  <c r="G28" i="7"/>
  <c r="G110" i="7"/>
  <c r="G153" i="7"/>
  <c r="G162" i="7"/>
  <c r="E9" i="7"/>
  <c r="F107" i="7"/>
  <c r="G51" i="7"/>
  <c r="G42" i="7"/>
  <c r="G31" i="7"/>
  <c r="G56" i="7"/>
  <c r="G23" i="7"/>
  <c r="G102" i="7"/>
  <c r="G99" i="7"/>
  <c r="F52" i="7"/>
  <c r="G26" i="7"/>
  <c r="G124" i="7"/>
  <c r="G163" i="7"/>
  <c r="G151" i="7"/>
  <c r="G126" i="7"/>
  <c r="G100" i="7"/>
  <c r="G138" i="7"/>
  <c r="G25" i="7"/>
  <c r="G113" i="7"/>
  <c r="F118" i="7"/>
  <c r="G127" i="7"/>
  <c r="G103" i="7"/>
  <c r="F32" i="7"/>
  <c r="G63" i="7"/>
  <c r="G152" i="7"/>
  <c r="G24" i="7"/>
  <c r="G98" i="7"/>
  <c r="G101" i="7"/>
  <c r="G30" i="7"/>
  <c r="C7" i="7"/>
  <c r="F132" i="7"/>
  <c r="G123" i="7"/>
  <c r="D8" i="7"/>
  <c r="G164" i="7"/>
  <c r="G159" i="7"/>
  <c r="F168" i="7"/>
  <c r="G160" i="7"/>
  <c r="G166" i="7"/>
  <c r="E48" i="7"/>
  <c r="D57" i="7"/>
  <c r="G53" i="7"/>
  <c r="G60" i="7"/>
  <c r="F68" i="7"/>
  <c r="G59" i="7"/>
  <c r="E49" i="7"/>
  <c r="D10" i="7"/>
  <c r="G66" i="7"/>
  <c r="F143" i="7"/>
  <c r="G134" i="7"/>
  <c r="G142" i="7"/>
  <c r="G135" i="7"/>
  <c r="F149" i="7" l="1"/>
  <c r="F148" i="7"/>
  <c r="E157" i="7"/>
  <c r="E8" i="7"/>
  <c r="G118" i="7"/>
  <c r="E10" i="7"/>
  <c r="G52" i="7"/>
  <c r="F9" i="7"/>
  <c r="G132" i="7"/>
  <c r="G107" i="7"/>
  <c r="G32" i="7"/>
  <c r="G168" i="7"/>
  <c r="F157" i="7"/>
  <c r="G148" i="7"/>
  <c r="G149" i="7"/>
  <c r="E11" i="7"/>
  <c r="F49" i="7"/>
  <c r="G68" i="7"/>
  <c r="D7" i="7"/>
  <c r="F48" i="7"/>
  <c r="E57" i="7"/>
  <c r="G143" i="7"/>
  <c r="G9" i="7" l="1"/>
  <c r="F10" i="7"/>
  <c r="G10" i="7"/>
  <c r="F11" i="7"/>
  <c r="G157" i="7"/>
  <c r="G11" i="7"/>
  <c r="F57" i="7"/>
  <c r="G48" i="7"/>
  <c r="E7" i="7"/>
  <c r="G49" i="7"/>
  <c r="F7" i="7" l="1"/>
  <c r="G57" i="7"/>
  <c r="G7" i="7"/>
  <c r="M25" i="7"/>
  <c r="I25" i="7" l="1"/>
  <c r="K25" i="7"/>
  <c r="J25" i="7"/>
  <c r="L25" i="7"/>
  <c r="C39" i="7" l="1"/>
  <c r="C38" i="7"/>
  <c r="C41" i="7"/>
  <c r="C34" i="7"/>
  <c r="C35" i="7"/>
  <c r="D35" i="7" l="1"/>
  <c r="C43" i="7"/>
  <c r="D34" i="7"/>
  <c r="D41" i="7"/>
  <c r="D38" i="7"/>
  <c r="D39" i="7"/>
  <c r="E39" i="7" l="1"/>
  <c r="E38" i="7"/>
  <c r="E41" i="7"/>
  <c r="E34" i="7"/>
  <c r="D43" i="7"/>
  <c r="C6" i="7"/>
  <c r="C12" i="7" s="1"/>
  <c r="E35" i="7"/>
  <c r="F35" i="7" l="1"/>
  <c r="D6" i="7"/>
  <c r="D12" i="7" s="1"/>
  <c r="C13" i="7"/>
  <c r="C14" i="7" s="1"/>
  <c r="F34" i="7"/>
  <c r="E43" i="7"/>
  <c r="F41" i="7"/>
  <c r="F38" i="7"/>
  <c r="F39" i="7"/>
  <c r="D13" i="7" l="1"/>
  <c r="D14" i="7" s="1"/>
  <c r="G39" i="7"/>
  <c r="G35" i="7"/>
  <c r="G38" i="7"/>
  <c r="G41" i="7"/>
  <c r="E6" i="7"/>
  <c r="E12" i="7" s="1"/>
  <c r="G34" i="7"/>
  <c r="F43" i="7"/>
  <c r="G43" i="7" l="1"/>
  <c r="F6" i="7"/>
  <c r="E13" i="7"/>
  <c r="E14" i="7" s="1"/>
  <c r="G6" i="7"/>
  <c r="G12" i="7" s="1"/>
  <c r="G13" i="7" l="1"/>
  <c r="G14" i="7" s="1"/>
  <c r="F12" i="7"/>
  <c r="F13" i="7" s="1"/>
  <c r="F14" i="7" s="1"/>
</calcChain>
</file>

<file path=xl/sharedStrings.xml><?xml version="1.0" encoding="utf-8"?>
<sst xmlns="http://purl.oclc.org/ooxml/spreadsheetml/main" count="697" uniqueCount="140">
  <si>
    <t>Regulated Entities</t>
  </si>
  <si>
    <t>Total</t>
  </si>
  <si>
    <t>Steel, Cathodically Unprotected and Uncoated</t>
  </si>
  <si>
    <t>Steel, Cathodically Unprotected and Coated</t>
  </si>
  <si>
    <t>Steel, Cathodically Protected and Uncoated</t>
  </si>
  <si>
    <t>Steel, Cathodically Protected and Coated</t>
  </si>
  <si>
    <t>Plastic</t>
  </si>
  <si>
    <t>Cast or Wrought Iron</t>
  </si>
  <si>
    <t>Ductile Iron</t>
  </si>
  <si>
    <t>Copper</t>
  </si>
  <si>
    <t>Other</t>
  </si>
  <si>
    <t>services</t>
  </si>
  <si>
    <t>miles</t>
  </si>
  <si>
    <t>cast iron</t>
  </si>
  <si>
    <t>unprotected steel</t>
  </si>
  <si>
    <t>protected steel</t>
  </si>
  <si>
    <t>plastic</t>
  </si>
  <si>
    <t>copper</t>
  </si>
  <si>
    <t>Berkshire</t>
  </si>
  <si>
    <t>Miles</t>
  </si>
  <si>
    <t>Services</t>
  </si>
  <si>
    <t>Miles Total</t>
  </si>
  <si>
    <t>Services Total</t>
  </si>
  <si>
    <t>Unitil</t>
  </si>
  <si>
    <t>Liberty</t>
  </si>
  <si>
    <t>CI miles</t>
  </si>
  <si>
    <t>Unprot steel miles</t>
  </si>
  <si>
    <t>DI miles</t>
  </si>
  <si>
    <t>Unprot Coat steel miles</t>
  </si>
  <si>
    <t>WI miles</t>
  </si>
  <si>
    <t>main pipelines</t>
  </si>
  <si>
    <t>National Grid</t>
  </si>
  <si>
    <t>Unprot&amp;Bare steel miles</t>
  </si>
  <si>
    <t>services total</t>
  </si>
  <si>
    <t>NGRID/Boston Gas and Colonial Gas (TOTAL)</t>
  </si>
  <si>
    <t>REPORTED</t>
  </si>
  <si>
    <t>Plastic (plus RCI)</t>
  </si>
  <si>
    <t>Eversource/NSTAR</t>
  </si>
  <si>
    <t>total miles</t>
  </si>
  <si>
    <t>Years</t>
  </si>
  <si>
    <t>ci</t>
  </si>
  <si>
    <t>steel</t>
  </si>
  <si>
    <t>EGMA/ Columbia/Bay State</t>
  </si>
  <si>
    <t>No 2028-2029 data</t>
  </si>
  <si>
    <t>2022-2026</t>
  </si>
  <si>
    <t>2027-2031</t>
  </si>
  <si>
    <t>2032-2036</t>
  </si>
  <si>
    <t>2037-2039</t>
  </si>
  <si>
    <t>2032-2034</t>
  </si>
  <si>
    <t>Bare Steel</t>
  </si>
  <si>
    <t>Unprot Steel</t>
  </si>
  <si>
    <t>Table 8 Aggregate</t>
  </si>
  <si>
    <t>metric tons CH4</t>
  </si>
  <si>
    <t>1 kg = 0.001 mt</t>
  </si>
  <si>
    <t>CI miles (includes relining)</t>
  </si>
  <si>
    <t>DATA (used for National Grid's Services Estimates)</t>
  </si>
  <si>
    <t>reported</t>
  </si>
  <si>
    <t>metric tons of methane (CH4)</t>
  </si>
  <si>
    <t>PIPELINE MILES AND NUMBER OF SERVICES</t>
  </si>
  <si>
    <t>REGULATED ENTITIES</t>
  </si>
  <si>
    <t>TOTAL</t>
  </si>
  <si>
    <t>material type</t>
  </si>
  <si>
    <t>Steel unprot/uncoat</t>
  </si>
  <si>
    <t>Steel unprot/coated</t>
  </si>
  <si>
    <t>projected growth:</t>
  </si>
  <si>
    <t>Services were not provided in 24-GSEP-05 so were set equal to the value proposed for 2024 in the 23-GSEP-05.</t>
  </si>
  <si>
    <t>Services were not provided in 24-GSEP-06 so were set equal to the value proposed for 2024 in the 23-GSEP-06.</t>
  </si>
  <si>
    <t>reductions (DPU 24-GSEP-02 - Exhibit BGC-JP-3-3)</t>
  </si>
  <si>
    <t>reported miles and service</t>
  </si>
  <si>
    <t>services (see below)</t>
  </si>
  <si>
    <t>Table 7 Total</t>
  </si>
  <si>
    <t>Table 8 Set-aside (at 5% of Total)</t>
  </si>
  <si>
    <t>projected</t>
  </si>
  <si>
    <t>Natural Gas and Petroleum Systems in the GHG Inventory: Additional Information on the 1990-2022 GHG Inventory (published April 2024) | US EPA</t>
  </si>
  <si>
    <t>Calculation of services:</t>
  </si>
  <si>
    <t>Averages</t>
  </si>
  <si>
    <t>cast iron/year</t>
  </si>
  <si>
    <t>steel/year</t>
  </si>
  <si>
    <t>miles/year</t>
  </si>
  <si>
    <t>Average</t>
  </si>
  <si>
    <t>reductions (24-GSEP-06 ES-RJB-1,Table 6, page 14)</t>
  </si>
  <si>
    <t>reductions (24-GSEP-05, RBJ-1, Figure III-2, p.21)</t>
  </si>
  <si>
    <t>Service values were not provided in 24-GSEP-03 so a rounded average of leak-prone services removed between 2020 and 2024 was calculated from reported values (shown in Columns AA through AE). For example, values shown in 2021 = 2020-2021 for each material type.</t>
  </si>
  <si>
    <t>reductions (DPU 24-GSEP-04 Exh LU-NMW-2 (filing) at Table 5 p.16, services Table 4 p.9)</t>
  </si>
  <si>
    <r>
      <t xml:space="preserve">reductions (24-GSEP-01 RKCL-5, Attachment B, </t>
    </r>
    <r>
      <rPr>
        <i/>
        <sz val="11"/>
        <rFont val="Calibri"/>
        <family val="2"/>
        <scheme val="minor"/>
      </rPr>
      <t>RKCL-1 Table RKCL-8</t>
    </r>
    <r>
      <rPr>
        <sz val="1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</si>
  <si>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 xml:space="preserve">Table 1 </t>
    </r>
    <r>
      <rPr>
        <sz val="11"/>
        <color theme="1"/>
        <rFont val="Calibri"/>
        <family val="2"/>
        <scheme val="minor"/>
      </rPr>
      <t>National Grid</t>
    </r>
  </si>
  <si>
    <r>
      <rPr>
        <b/>
        <sz val="11"/>
        <color theme="1"/>
        <rFont val="Calibri"/>
        <family val="2"/>
        <scheme val="minor"/>
      </rPr>
      <t xml:space="preserve">Table 6 </t>
    </r>
    <r>
      <rPr>
        <sz val="11"/>
        <color theme="1"/>
        <rFont val="Calibri"/>
        <family val="2"/>
        <scheme val="minor"/>
      </rPr>
      <t>Eversource NSTAR</t>
    </r>
  </si>
  <si>
    <r>
      <rPr>
        <b/>
        <sz val="11"/>
        <color theme="1"/>
        <rFont val="Calibri"/>
        <family val="2"/>
        <scheme val="minor"/>
      </rPr>
      <t xml:space="preserve">Table 2 </t>
    </r>
    <r>
      <rPr>
        <sz val="11"/>
        <color theme="1"/>
        <rFont val="Calibri"/>
        <family val="2"/>
        <scheme val="minor"/>
      </rPr>
      <t xml:space="preserve">Eversource EGMA </t>
    </r>
  </si>
  <si>
    <r>
      <rPr>
        <b/>
        <sz val="11"/>
        <color theme="1"/>
        <rFont val="Calibri"/>
        <family val="2"/>
        <scheme val="minor"/>
      </rPr>
      <t xml:space="preserve">Table 5 </t>
    </r>
    <r>
      <rPr>
        <sz val="11"/>
        <color theme="1"/>
        <rFont val="Calibri"/>
        <family val="2"/>
        <scheme val="minor"/>
      </rPr>
      <t>Liberty Utilities</t>
    </r>
  </si>
  <si>
    <r>
      <rPr>
        <b/>
        <sz val="11"/>
        <color theme="1"/>
        <rFont val="Calibri"/>
        <family val="2"/>
        <scheme val="minor"/>
      </rPr>
      <t xml:space="preserve">Table 4 </t>
    </r>
    <r>
      <rPr>
        <sz val="11"/>
        <color theme="1"/>
        <rFont val="Calibri"/>
        <family val="2"/>
        <scheme val="minor"/>
      </rPr>
      <t>Unitil (Fitchburg Gas)</t>
    </r>
  </si>
  <si>
    <t>unprotected steel, other</t>
  </si>
  <si>
    <t>mains/pipelines</t>
  </si>
  <si>
    <t xml:space="preserve">EPA GHG Annex 3.6 Emission Factors </t>
  </si>
  <si>
    <t>cast/wrought/ductile (c/w/d) iron</t>
  </si>
  <si>
    <t>unprotected steel, c/w/d iron, other</t>
  </si>
  <si>
    <t>Eversource EGMA</t>
  </si>
  <si>
    <t>Eversource NSTAR</t>
  </si>
  <si>
    <t>Unitil (Fitchburg)</t>
  </si>
  <si>
    <t>Berkshire did not submit proposed work for 2028 and 2029 in the 24-GSEP-02.</t>
  </si>
  <si>
    <r>
      <rPr>
        <b/>
        <sz val="11"/>
        <color theme="1"/>
        <rFont val="Calibri"/>
        <family val="2"/>
        <scheme val="minor"/>
      </rPr>
      <t>Table 3</t>
    </r>
    <r>
      <rPr>
        <sz val="11"/>
        <color theme="1"/>
        <rFont val="Calibri"/>
        <family val="2"/>
        <scheme val="minor"/>
      </rPr>
      <t xml:space="preserve"> Berkshire Gas Company</t>
    </r>
  </si>
  <si>
    <t>DATA USED TO DETERMINE PROJECTED PIPELINE MILES AND SERVICES FOR 2025-2029</t>
  </si>
  <si>
    <t>Emission Factors from 310 CMR 7.73 Table 9</t>
  </si>
  <si>
    <t>The Global Warming Potential (GWP) of methane (CH4)</t>
  </si>
  <si>
    <t xml:space="preserve">from the IPCC's 4th Assessment Report used to calculate the </t>
  </si>
  <si>
    <r>
      <t xml:space="preserve">as shown in </t>
    </r>
    <r>
      <rPr>
        <b/>
        <sz val="11"/>
        <color theme="1"/>
        <rFont val="Calibri"/>
        <family val="2"/>
        <scheme val="minor"/>
      </rPr>
      <t>Stakeholder Memo Table 4</t>
    </r>
  </si>
  <si>
    <r>
      <t xml:space="preserve">draft limits shown in Stakeholder Memo Table 5
</t>
    </r>
    <r>
      <rPr>
        <sz val="11"/>
        <color theme="1"/>
        <rFont val="Calibri"/>
        <family val="2"/>
        <scheme val="minor"/>
      </rPr>
      <t>note that no projected growth in miles or services is yet included</t>
    </r>
  </si>
  <si>
    <t>in mt CO2e</t>
  </si>
  <si>
    <t>in mt CH4</t>
  </si>
  <si>
    <t>Table 7 total</t>
  </si>
  <si>
    <r>
      <rPr>
        <b/>
        <sz val="11"/>
        <color theme="1"/>
        <rFont val="Calibri"/>
        <family val="2"/>
        <scheme val="minor"/>
      </rPr>
      <t xml:space="preserve">Table 3 </t>
    </r>
    <r>
      <rPr>
        <sz val="11"/>
        <color theme="1"/>
        <rFont val="Calibri"/>
        <family val="2"/>
        <scheme val="minor"/>
      </rPr>
      <t>Berkshire Gas Company</t>
    </r>
  </si>
  <si>
    <r>
      <t>reductions (</t>
    </r>
    <r>
      <rPr>
        <i/>
        <sz val="11"/>
        <rFont val="Calibri"/>
        <family val="2"/>
        <scheme val="minor"/>
      </rPr>
      <t>DPU 24-GSEP-06,</t>
    </r>
    <r>
      <rPr>
        <sz val="11"/>
        <rFont val="Calibri"/>
        <family val="2"/>
        <scheme val="minor"/>
      </rPr>
      <t xml:space="preserve"> Exhibit ES-RJB-1, </t>
    </r>
    <r>
      <rPr>
        <i/>
        <sz val="11"/>
        <rFont val="Calibri"/>
        <family val="2"/>
      </rPr>
      <t>p. 14</t>
    </r>
    <r>
      <rPr>
        <sz val="11"/>
        <rFont val="Calibri"/>
        <family val="2"/>
      </rPr>
      <t>)</t>
    </r>
  </si>
  <si>
    <t>reductions (24-GSEP-05 EGMA-RJB-1, Figure III-2, page 21)</t>
  </si>
  <si>
    <r>
      <t xml:space="preserve">reductions (24-GSEP-03 NG-GPP-2 Tables 9, 10 &amp; 11 p32, 33 &amp; 34; </t>
    </r>
    <r>
      <rPr>
        <i/>
        <sz val="11"/>
        <rFont val="Calibri"/>
        <family val="2"/>
        <scheme val="minor"/>
      </rPr>
      <t>page 43 for 2025</t>
    </r>
    <r>
      <rPr>
        <sz val="11"/>
        <rFont val="Calibri"/>
        <family val="2"/>
        <scheme val="minor"/>
      </rPr>
      <t>)</t>
    </r>
  </si>
  <si>
    <r>
      <t xml:space="preserve">2024 emissions </t>
    </r>
    <r>
      <rPr>
        <b/>
        <sz val="11"/>
        <rFont val="Calibri"/>
        <family val="2"/>
        <scheme val="minor"/>
      </rPr>
      <t>limits</t>
    </r>
    <r>
      <rPr>
        <sz val="11"/>
        <rFont val="Calibri"/>
        <family val="2"/>
        <scheme val="minor"/>
      </rPr>
      <t xml:space="preserve"> in Tables 1-7 of the 310 CMR 7.73 regulation</t>
    </r>
  </si>
  <si>
    <t>mt CO2e/mile</t>
  </si>
  <si>
    <t>mt CH4/mile</t>
  </si>
  <si>
    <t>mt CO2e/service</t>
  </si>
  <si>
    <t>mt CH4/service</t>
  </si>
  <si>
    <t>reported emissions in mt CO2e</t>
  </si>
  <si>
    <t xml:space="preserve"> and in mt CH4</t>
  </si>
  <si>
    <t>This tab shows the calculation of the 2024 emissions provided in Stakeholder Memo Table 4.</t>
  </si>
  <si>
    <t>The emissions are calculated in mt CH4 on the 'Stakeholder Memo Table 5' tab and converted to mt CO2e for comparison.</t>
  </si>
  <si>
    <t>Table 9 emission factors in 310 CMR 7.73 is 25.</t>
  </si>
  <si>
    <t>This tab shows the calculation of the 2024 emissions provided in Stakeholder Memo Table 3.</t>
  </si>
  <si>
    <r>
      <t>The emissions are calculated in metric tons (mt) CO</t>
    </r>
    <r>
      <rPr>
        <b/>
        <vertAlign val="subscript"/>
        <sz val="16"/>
        <color theme="1"/>
        <rFont val="Calibri"/>
        <family val="2"/>
        <scheme val="minor"/>
      </rPr>
      <t>2</t>
    </r>
    <r>
      <rPr>
        <b/>
        <sz val="16"/>
        <color theme="1"/>
        <rFont val="Calibri"/>
        <family val="2"/>
        <scheme val="minor"/>
      </rPr>
      <t>e and mt CH</t>
    </r>
    <r>
      <rPr>
        <b/>
        <vertAlign val="subscript"/>
        <sz val="16"/>
        <color theme="1"/>
        <rFont val="Calibri"/>
        <family val="2"/>
        <scheme val="minor"/>
      </rPr>
      <t>4</t>
    </r>
    <r>
      <rPr>
        <b/>
        <sz val="16"/>
        <color theme="1"/>
        <rFont val="Calibri"/>
        <family val="2"/>
        <scheme val="minor"/>
      </rPr>
      <t xml:space="preserve"> using the current 310 CMR 7.73 Table 9 emission factors.</t>
    </r>
  </si>
  <si>
    <t>2023 and 2024 values are from Liberty's resubmitted reports.</t>
  </si>
  <si>
    <t>the last 3 rows for 2028 and 2029 do not include Berkshire</t>
  </si>
  <si>
    <t>Updated Emission Factors for 310 CMR 7.73 Table 9</t>
  </si>
  <si>
    <t>The updated emission factors for 310 CMR 7.73 Table 9 are EPA's Annex 3.6 emission factors converted to mt CH4.</t>
  </si>
  <si>
    <t>2024 emissions shown below are from reported data using updated emission factors.</t>
  </si>
  <si>
    <t>kg CH4/mile</t>
  </si>
  <si>
    <t>kg CH4/service</t>
  </si>
  <si>
    <r>
      <t>The emission factors from 310 CMR 7.73 Table 9 are converted below to mt CH</t>
    </r>
    <r>
      <rPr>
        <b/>
        <vertAlign val="subscript"/>
        <sz val="16"/>
        <color theme="1"/>
        <rFont val="Calibri"/>
        <family val="2"/>
        <scheme val="minor"/>
      </rPr>
      <t>4</t>
    </r>
    <r>
      <rPr>
        <b/>
        <sz val="16"/>
        <color theme="1"/>
        <rFont val="Calibri"/>
        <family val="2"/>
        <scheme val="minor"/>
      </rPr>
      <t xml:space="preserve"> for comparison with the updated emission factors on the 'Stakeholder Memo Table 5' tab.</t>
    </r>
  </si>
  <si>
    <r>
      <t xml:space="preserve">2024 </t>
    </r>
    <r>
      <rPr>
        <b/>
        <sz val="11"/>
        <rFont val="Calibri"/>
        <family val="2"/>
        <scheme val="minor"/>
      </rPr>
      <t>reported</t>
    </r>
    <r>
      <rPr>
        <sz val="11"/>
        <rFont val="Calibri"/>
        <family val="2"/>
        <scheme val="minor"/>
      </rPr>
      <t xml:space="preserve"> emissions as shown in Stakeholder Memo Table 4</t>
    </r>
  </si>
  <si>
    <r>
      <t xml:space="preserve">2024 </t>
    </r>
    <r>
      <rPr>
        <b/>
        <sz val="11"/>
        <rFont val="Calibri"/>
        <family val="2"/>
        <scheme val="minor"/>
      </rPr>
      <t>reported</t>
    </r>
    <r>
      <rPr>
        <sz val="11"/>
        <rFont val="Calibri"/>
        <family val="2"/>
        <scheme val="minor"/>
      </rPr>
      <t xml:space="preserve"> emissions as shown in Stakeholder Memo Table 3</t>
    </r>
  </si>
  <si>
    <t>converted to mt CH4 using the IPCC AR4 CH4 GWP</t>
  </si>
  <si>
    <r>
      <t xml:space="preserve">EPA emission factors from Annex 3.6 </t>
    </r>
    <r>
      <rPr>
        <i/>
        <sz val="11"/>
        <color theme="1"/>
        <rFont val="Calibri"/>
        <family val="2"/>
        <scheme val="minor"/>
      </rPr>
      <t>Methodology for Estimating CH4, CO2, and N2O Emissions from Natural Gas Systems</t>
    </r>
    <r>
      <rPr>
        <sz val="11"/>
        <color theme="1"/>
        <rFont val="Calibri"/>
        <family val="2"/>
        <scheme val="minor"/>
      </rPr>
      <t>, electronic tables, from the 1990-2022 National GHG Inventory</t>
    </r>
  </si>
  <si>
    <t>CH4 EMISSIONS CALCULATIONS FOR DRAFT LIMITS (2025-2029)</t>
  </si>
  <si>
    <t>PIPELINE MILES AND SERVICES REPORTED TO MassDEP UNDER 310 CMR 7.73 (2018-2024)</t>
  </si>
  <si>
    <t xml:space="preserve"> Calculation of draft 310 CMR 7.73 Tables 1-8 Gas Operator Limits using updated Table 9 emission factors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</si>
</sst>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64" formatCode="0.0"/>
    <numFmt numFmtId="165" formatCode="0.000"/>
    <numFmt numFmtId="166" formatCode="_(* #,##0_);_(* \(#,##0\);_(* &quot;-&quot;??_);_(@_)"/>
    <numFmt numFmtId="167" formatCode="_(* #,##0.0_);_(* \(#,##0.0\);_(* &quot;-&quot;??_);_(@_)"/>
    <numFmt numFmtId="168" formatCode="#,##0.000000"/>
    <numFmt numFmtId="169" formatCode="0.000000"/>
    <numFmt numFmtId="170" formatCode="_(* #,##0.000000_);_(* \(#,##0.000000\);_(* &quot;-&quot;??_);_(@_)"/>
    <numFmt numFmtId="171" formatCode="_(* #,##0.00000000000000_);_(* \(#,##0.00000000000000\);_(* &quot;-&quot;??_);_(@_)"/>
    <numFmt numFmtId="172" formatCode="_(* #,##0.0000000000000000_);_(* \(#,##0.0000000000000000\);_(* &quot;-&quot;??_);_(@_)"/>
    <numFmt numFmtId="173" formatCode="0.0000000000000000"/>
    <numFmt numFmtId="174" formatCode="0.00000000000000000"/>
    <numFmt numFmtId="175" formatCode="0.0000000000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name val="Calibri"/>
      <family val="2"/>
    </font>
    <font>
      <sz val="11"/>
      <name val="Calibri"/>
      <family val="2"/>
    </font>
    <font>
      <b/>
      <i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vertAlign val="subscript"/>
      <sz val="16"/>
      <color theme="1"/>
      <name val="Calibri"/>
      <family val="2"/>
      <scheme val="minor"/>
    </font>
    <font>
      <sz val="11"/>
      <color rgb="FFED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38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320">
    <xf numFmtId="0" fontId="0" fillId="0" borderId="0" xfId="0"/>
    <xf numFmtId="9" fontId="1" fillId="0" borderId="0" xfId="2" applyFont="1" applyBorder="1"/>
    <xf numFmtId="3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0" borderId="0" xfId="0" applyAlignment="1">
      <alignment horizontal="right"/>
    </xf>
    <xf numFmtId="0" fontId="4" fillId="0" borderId="0" xfId="0" applyFont="1"/>
    <xf numFmtId="9" fontId="1" fillId="0" borderId="0" xfId="2" applyFont="1" applyFill="1" applyBorder="1"/>
    <xf numFmtId="164" fontId="0" fillId="0" borderId="0" xfId="0" applyNumberFormat="1"/>
    <xf numFmtId="0" fontId="2" fillId="0" borderId="1" xfId="0" applyFont="1" applyBorder="1"/>
    <xf numFmtId="0" fontId="0" fillId="0" borderId="2" xfId="0" applyBorder="1"/>
    <xf numFmtId="0" fontId="6" fillId="0" borderId="3" xfId="0" applyFont="1" applyBorder="1"/>
    <xf numFmtId="0" fontId="0" fillId="0" borderId="4" xfId="0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4" fillId="0" borderId="2" xfId="0" applyFont="1" applyBorder="1"/>
    <xf numFmtId="0" fontId="0" fillId="0" borderId="3" xfId="0" applyBorder="1" applyAlignment="1">
      <alignment horizontal="left"/>
    </xf>
    <xf numFmtId="0" fontId="3" fillId="0" borderId="0" xfId="0" applyFont="1"/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11" xfId="0" applyBorder="1"/>
    <xf numFmtId="3" fontId="3" fillId="0" borderId="0" xfId="0" applyNumberFormat="1" applyFont="1"/>
    <xf numFmtId="0" fontId="0" fillId="0" borderId="8" xfId="0" applyBorder="1"/>
    <xf numFmtId="166" fontId="0" fillId="0" borderId="0" xfId="1" applyNumberFormat="1" applyFont="1" applyBorder="1"/>
    <xf numFmtId="0" fontId="8" fillId="0" borderId="4" xfId="0" applyFont="1" applyBorder="1"/>
    <xf numFmtId="166" fontId="3" fillId="0" borderId="0" xfId="1" applyNumberFormat="1" applyFont="1" applyFill="1" applyBorder="1"/>
    <xf numFmtId="9" fontId="3" fillId="0" borderId="0" xfId="2" applyFont="1" applyFill="1" applyBorder="1"/>
    <xf numFmtId="2" fontId="3" fillId="0" borderId="0" xfId="0" applyNumberFormat="1" applyFont="1"/>
    <xf numFmtId="0" fontId="3" fillId="0" borderId="6" xfId="0" applyFont="1" applyBorder="1"/>
    <xf numFmtId="9" fontId="3" fillId="0" borderId="0" xfId="2" applyFont="1" applyBorder="1"/>
    <xf numFmtId="0" fontId="3" fillId="0" borderId="0" xfId="0" applyFont="1" applyAlignment="1">
      <alignment wrapText="1"/>
    </xf>
    <xf numFmtId="0" fontId="4" fillId="0" borderId="6" xfId="0" applyFont="1" applyBorder="1"/>
    <xf numFmtId="0" fontId="13" fillId="0" borderId="0" xfId="0" applyFont="1"/>
    <xf numFmtId="167" fontId="4" fillId="0" borderId="0" xfId="1" applyNumberFormat="1" applyFont="1" applyBorder="1"/>
    <xf numFmtId="0" fontId="4" fillId="0" borderId="0" xfId="0" applyFont="1" applyAlignment="1">
      <alignment horizontal="right"/>
    </xf>
    <xf numFmtId="168" fontId="4" fillId="0" borderId="0" xfId="0" applyNumberFormat="1" applyFont="1"/>
    <xf numFmtId="166" fontId="4" fillId="0" borderId="0" xfId="1" applyNumberFormat="1" applyFont="1" applyFill="1" applyBorder="1"/>
    <xf numFmtId="0" fontId="15" fillId="0" borderId="0" xfId="0" applyFont="1" applyAlignment="1">
      <alignment horizontal="left"/>
    </xf>
    <xf numFmtId="0" fontId="4" fillId="0" borderId="3" xfId="0" applyFont="1" applyBorder="1"/>
    <xf numFmtId="0" fontId="2" fillId="0" borderId="2" xfId="0" applyFont="1" applyBorder="1" applyAlignment="1">
      <alignment horizontal="center"/>
    </xf>
    <xf numFmtId="0" fontId="17" fillId="0" borderId="0" xfId="0" applyFont="1"/>
    <xf numFmtId="167" fontId="0" fillId="2" borderId="9" xfId="1" applyNumberFormat="1" applyFont="1" applyFill="1" applyBorder="1"/>
    <xf numFmtId="0" fontId="12" fillId="0" borderId="2" xfId="0" applyFont="1" applyBorder="1" applyAlignment="1">
      <alignment horizontal="center"/>
    </xf>
    <xf numFmtId="167" fontId="0" fillId="0" borderId="0" xfId="1" applyNumberFormat="1" applyFont="1" applyFill="1" applyBorder="1"/>
    <xf numFmtId="167" fontId="0" fillId="0" borderId="0" xfId="1" applyNumberFormat="1" applyFont="1"/>
    <xf numFmtId="167" fontId="1" fillId="2" borderId="9" xfId="1" applyNumberFormat="1" applyFont="1" applyFill="1" applyBorder="1"/>
    <xf numFmtId="166" fontId="4" fillId="0" borderId="4" xfId="1" applyNumberFormat="1" applyFont="1" applyBorder="1"/>
    <xf numFmtId="166" fontId="4" fillId="0" borderId="7" xfId="1" applyNumberFormat="1" applyFont="1" applyBorder="1"/>
    <xf numFmtId="167" fontId="0" fillId="0" borderId="6" xfId="1" applyNumberFormat="1" applyFont="1" applyBorder="1"/>
    <xf numFmtId="0" fontId="8" fillId="0" borderId="3" xfId="0" applyFont="1" applyBorder="1"/>
    <xf numFmtId="166" fontId="4" fillId="0" borderId="3" xfId="1" applyNumberFormat="1" applyFont="1" applyFill="1" applyBorder="1"/>
    <xf numFmtId="166" fontId="4" fillId="0" borderId="0" xfId="1" applyNumberFormat="1" applyFont="1" applyBorder="1"/>
    <xf numFmtId="167" fontId="4" fillId="0" borderId="0" xfId="1" applyNumberFormat="1" applyFont="1" applyFill="1" applyBorder="1"/>
    <xf numFmtId="2" fontId="0" fillId="2" borderId="9" xfId="0" applyNumberFormat="1" applyFill="1" applyBorder="1"/>
    <xf numFmtId="1" fontId="0" fillId="2" borderId="9" xfId="0" applyNumberFormat="1" applyFill="1" applyBorder="1"/>
    <xf numFmtId="43" fontId="0" fillId="2" borderId="9" xfId="1" applyFont="1" applyFill="1" applyBorder="1"/>
    <xf numFmtId="166" fontId="0" fillId="2" borderId="9" xfId="1" applyNumberFormat="1" applyFont="1" applyFill="1" applyBorder="1"/>
    <xf numFmtId="165" fontId="0" fillId="2" borderId="9" xfId="0" applyNumberFormat="1" applyFill="1" applyBorder="1"/>
    <xf numFmtId="0" fontId="0" fillId="2" borderId="9" xfId="0" applyFill="1" applyBorder="1"/>
    <xf numFmtId="167" fontId="4" fillId="0" borderId="3" xfId="1" applyNumberFormat="1" applyFont="1" applyBorder="1"/>
    <xf numFmtId="167" fontId="4" fillId="0" borderId="4" xfId="1" applyNumberFormat="1" applyFont="1" applyBorder="1"/>
    <xf numFmtId="167" fontId="0" fillId="0" borderId="3" xfId="1" applyNumberFormat="1" applyFont="1" applyBorder="1"/>
    <xf numFmtId="167" fontId="0" fillId="0" borderId="4" xfId="1" applyNumberFormat="1" applyFont="1" applyBorder="1"/>
    <xf numFmtId="167" fontId="0" fillId="0" borderId="5" xfId="1" applyNumberFormat="1" applyFont="1" applyBorder="1"/>
    <xf numFmtId="167" fontId="0" fillId="0" borderId="7" xfId="1" applyNumberFormat="1" applyFont="1" applyBorder="1"/>
    <xf numFmtId="167" fontId="4" fillId="0" borderId="3" xfId="1" applyNumberFormat="1" applyFont="1" applyFill="1" applyBorder="1"/>
    <xf numFmtId="0" fontId="8" fillId="0" borderId="1" xfId="0" applyFont="1" applyBorder="1"/>
    <xf numFmtId="0" fontId="8" fillId="0" borderId="2" xfId="0" applyFont="1" applyBorder="1"/>
    <xf numFmtId="0" fontId="8" fillId="0" borderId="8" xfId="0" applyFont="1" applyBorder="1"/>
    <xf numFmtId="166" fontId="4" fillId="0" borderId="3" xfId="1" applyNumberFormat="1" applyFont="1" applyBorder="1"/>
    <xf numFmtId="0" fontId="3" fillId="0" borderId="7" xfId="0" applyFont="1" applyBorder="1"/>
    <xf numFmtId="0" fontId="20" fillId="0" borderId="0" xfId="0" applyFont="1"/>
    <xf numFmtId="166" fontId="1" fillId="2" borderId="9" xfId="1" applyNumberFormat="1" applyFont="1" applyFill="1" applyBorder="1"/>
    <xf numFmtId="167" fontId="0" fillId="0" borderId="6" xfId="1" applyNumberFormat="1" applyFont="1" applyFill="1" applyBorder="1"/>
    <xf numFmtId="1" fontId="0" fillId="0" borderId="6" xfId="0" applyNumberFormat="1" applyBorder="1"/>
    <xf numFmtId="0" fontId="3" fillId="0" borderId="3" xfId="0" applyFont="1" applyBorder="1"/>
    <xf numFmtId="0" fontId="3" fillId="0" borderId="4" xfId="0" applyFont="1" applyBorder="1"/>
    <xf numFmtId="0" fontId="13" fillId="0" borderId="0" xfId="0" applyFont="1" applyAlignment="1">
      <alignment wrapText="1"/>
    </xf>
    <xf numFmtId="0" fontId="3" fillId="0" borderId="5" xfId="0" applyFont="1" applyBorder="1"/>
    <xf numFmtId="166" fontId="4" fillId="0" borderId="4" xfId="1" applyNumberFormat="1" applyFont="1" applyFill="1" applyBorder="1"/>
    <xf numFmtId="0" fontId="4" fillId="0" borderId="9" xfId="0" applyFont="1" applyBorder="1"/>
    <xf numFmtId="0" fontId="4" fillId="0" borderId="14" xfId="0" applyFont="1" applyBorder="1"/>
    <xf numFmtId="0" fontId="4" fillId="0" borderId="5" xfId="0" applyFont="1" applyBorder="1"/>
    <xf numFmtId="0" fontId="0" fillId="0" borderId="9" xfId="0" applyBorder="1" applyAlignment="1">
      <alignment horizontal="center" wrapText="1"/>
    </xf>
    <xf numFmtId="166" fontId="4" fillId="0" borderId="19" xfId="1" applyNumberFormat="1" applyFont="1" applyBorder="1"/>
    <xf numFmtId="166" fontId="4" fillId="0" borderId="20" xfId="1" applyNumberFormat="1" applyFont="1" applyBorder="1"/>
    <xf numFmtId="166" fontId="4" fillId="0" borderId="20" xfId="1" applyNumberFormat="1" applyFont="1" applyFill="1" applyBorder="1"/>
    <xf numFmtId="166" fontId="4" fillId="0" borderId="21" xfId="1" applyNumberFormat="1" applyFont="1" applyBorder="1"/>
    <xf numFmtId="0" fontId="2" fillId="0" borderId="0" xfId="0" applyFont="1" applyAlignment="1">
      <alignment horizontal="right"/>
    </xf>
    <xf numFmtId="0" fontId="8" fillId="0" borderId="19" xfId="0" applyFont="1" applyBorder="1"/>
    <xf numFmtId="0" fontId="8" fillId="0" borderId="0" xfId="0" applyFont="1"/>
    <xf numFmtId="167" fontId="0" fillId="0" borderId="0" xfId="1" applyNumberFormat="1" applyFont="1" applyBorder="1"/>
    <xf numFmtId="0" fontId="8" fillId="0" borderId="20" xfId="0" applyFont="1" applyBorder="1"/>
    <xf numFmtId="167" fontId="4" fillId="0" borderId="20" xfId="1" applyNumberFormat="1" applyFont="1" applyBorder="1"/>
    <xf numFmtId="167" fontId="0" fillId="0" borderId="20" xfId="1" applyNumberFormat="1" applyFont="1" applyBorder="1"/>
    <xf numFmtId="167" fontId="0" fillId="0" borderId="21" xfId="1" applyNumberFormat="1" applyFont="1" applyBorder="1"/>
    <xf numFmtId="0" fontId="0" fillId="0" borderId="9" xfId="0" applyBorder="1" applyAlignment="1">
      <alignment horizontal="center"/>
    </xf>
    <xf numFmtId="0" fontId="18" fillId="0" borderId="0" xfId="0" applyFont="1"/>
    <xf numFmtId="0" fontId="0" fillId="0" borderId="7" xfId="0" applyBorder="1"/>
    <xf numFmtId="0" fontId="2" fillId="0" borderId="9" xfId="0" applyFont="1" applyBorder="1"/>
    <xf numFmtId="167" fontId="0" fillId="0" borderId="9" xfId="1" applyNumberFormat="1" applyFont="1" applyFill="1" applyBorder="1"/>
    <xf numFmtId="166" fontId="0" fillId="0" borderId="9" xfId="1" applyNumberFormat="1" applyFont="1" applyBorder="1"/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166" fontId="0" fillId="0" borderId="5" xfId="0" applyNumberFormat="1" applyBorder="1"/>
    <xf numFmtId="166" fontId="19" fillId="0" borderId="6" xfId="1" applyNumberFormat="1" applyFont="1" applyBorder="1"/>
    <xf numFmtId="166" fontId="19" fillId="0" borderId="7" xfId="1" applyNumberFormat="1" applyFont="1" applyBorder="1"/>
    <xf numFmtId="164" fontId="5" fillId="0" borderId="6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164" fontId="5" fillId="0" borderId="7" xfId="0" applyNumberFormat="1" applyFont="1" applyBorder="1"/>
    <xf numFmtId="164" fontId="5" fillId="0" borderId="1" xfId="0" applyNumberFormat="1" applyFont="1" applyBorder="1"/>
    <xf numFmtId="164" fontId="5" fillId="0" borderId="2" xfId="0" applyNumberFormat="1" applyFont="1" applyBorder="1"/>
    <xf numFmtId="164" fontId="5" fillId="0" borderId="8" xfId="0" applyNumberFormat="1" applyFont="1" applyBorder="1"/>
    <xf numFmtId="0" fontId="0" fillId="0" borderId="3" xfId="0" applyBorder="1" applyAlignment="1">
      <alignment horizontal="right"/>
    </xf>
    <xf numFmtId="0" fontId="0" fillId="0" borderId="0" xfId="0" applyAlignment="1">
      <alignment horizontal="left"/>
    </xf>
    <xf numFmtId="164" fontId="4" fillId="0" borderId="19" xfId="0" applyNumberFormat="1" applyFont="1" applyBorder="1"/>
    <xf numFmtId="164" fontId="4" fillId="0" borderId="20" xfId="0" applyNumberFormat="1" applyFont="1" applyBorder="1"/>
    <xf numFmtId="164" fontId="4" fillId="0" borderId="21" xfId="0" applyNumberFormat="1" applyFont="1" applyBorder="1" applyAlignment="1">
      <alignment horizontal="right"/>
    </xf>
    <xf numFmtId="0" fontId="11" fillId="0" borderId="3" xfId="0" applyFont="1" applyBorder="1"/>
    <xf numFmtId="0" fontId="11" fillId="0" borderId="0" xfId="0" applyFont="1"/>
    <xf numFmtId="166" fontId="0" fillId="0" borderId="0" xfId="0" applyNumberFormat="1"/>
    <xf numFmtId="1" fontId="0" fillId="0" borderId="7" xfId="0" applyNumberFormat="1" applyBorder="1"/>
    <xf numFmtId="0" fontId="14" fillId="0" borderId="4" xfId="0" applyFont="1" applyBorder="1"/>
    <xf numFmtId="0" fontId="4" fillId="0" borderId="4" xfId="0" applyFont="1" applyBorder="1"/>
    <xf numFmtId="167" fontId="4" fillId="0" borderId="4" xfId="1" applyNumberFormat="1" applyFont="1" applyFill="1" applyBorder="1"/>
    <xf numFmtId="167" fontId="0" fillId="0" borderId="3" xfId="1" applyNumberFormat="1" applyFont="1" applyFill="1" applyBorder="1"/>
    <xf numFmtId="167" fontId="0" fillId="0" borderId="4" xfId="1" applyNumberFormat="1" applyFont="1" applyFill="1" applyBorder="1"/>
    <xf numFmtId="167" fontId="0" fillId="0" borderId="5" xfId="1" applyNumberFormat="1" applyFont="1" applyFill="1" applyBorder="1"/>
    <xf numFmtId="167" fontId="0" fillId="0" borderId="7" xfId="1" applyNumberFormat="1" applyFont="1" applyFill="1" applyBorder="1"/>
    <xf numFmtId="2" fontId="3" fillId="0" borderId="4" xfId="0" applyNumberFormat="1" applyFont="1" applyBorder="1"/>
    <xf numFmtId="2" fontId="13" fillId="0" borderId="0" xfId="0" applyNumberFormat="1" applyFont="1"/>
    <xf numFmtId="166" fontId="0" fillId="0" borderId="4" xfId="1" applyNumberFormat="1" applyFont="1" applyBorder="1"/>
    <xf numFmtId="166" fontId="0" fillId="0" borderId="6" xfId="0" applyNumberFormat="1" applyBorder="1"/>
    <xf numFmtId="166" fontId="0" fillId="0" borderId="7" xfId="0" applyNumberFormat="1" applyBorder="1"/>
    <xf numFmtId="166" fontId="0" fillId="0" borderId="3" xfId="1" applyNumberFormat="1" applyFont="1" applyBorder="1"/>
    <xf numFmtId="0" fontId="12" fillId="0" borderId="0" xfId="0" applyFont="1" applyAlignment="1">
      <alignment horizontal="center"/>
    </xf>
    <xf numFmtId="0" fontId="2" fillId="0" borderId="19" xfId="0" applyFont="1" applyBorder="1"/>
    <xf numFmtId="0" fontId="6" fillId="0" borderId="20" xfId="0" applyFont="1" applyBorder="1"/>
    <xf numFmtId="0" fontId="0" fillId="0" borderId="20" xfId="0" applyBorder="1"/>
    <xf numFmtId="0" fontId="0" fillId="0" borderId="21" xfId="0" applyBorder="1"/>
    <xf numFmtId="2" fontId="0" fillId="0" borderId="3" xfId="0" applyNumberFormat="1" applyBorder="1"/>
    <xf numFmtId="165" fontId="0" fillId="0" borderId="0" xfId="0" applyNumberFormat="1"/>
    <xf numFmtId="165" fontId="0" fillId="0" borderId="4" xfId="0" applyNumberFormat="1" applyBorder="1"/>
    <xf numFmtId="2" fontId="0" fillId="0" borderId="4" xfId="0" applyNumberFormat="1" applyBorder="1"/>
    <xf numFmtId="166" fontId="0" fillId="0" borderId="4" xfId="0" applyNumberFormat="1" applyBorder="1"/>
    <xf numFmtId="0" fontId="10" fillId="0" borderId="3" xfId="0" applyFont="1" applyBorder="1"/>
    <xf numFmtId="165" fontId="9" fillId="0" borderId="3" xfId="0" applyNumberFormat="1" applyFont="1" applyBorder="1"/>
    <xf numFmtId="165" fontId="9" fillId="0" borderId="0" xfId="0" applyNumberFormat="1" applyFont="1"/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0" fillId="0" borderId="10" xfId="0" applyBorder="1"/>
    <xf numFmtId="0" fontId="0" fillId="0" borderId="11" xfId="0" applyBorder="1" applyAlignment="1">
      <alignment horizontal="left"/>
    </xf>
    <xf numFmtId="0" fontId="2" fillId="0" borderId="27" xfId="0" applyFont="1" applyBorder="1"/>
    <xf numFmtId="0" fontId="4" fillId="0" borderId="17" xfId="0" applyFont="1" applyBorder="1" applyAlignment="1">
      <alignment horizontal="left" wrapText="1"/>
    </xf>
    <xf numFmtId="0" fontId="2" fillId="0" borderId="34" xfId="0" applyFont="1" applyBorder="1" applyAlignment="1">
      <alignment horizontal="center" wrapText="1"/>
    </xf>
    <xf numFmtId="170" fontId="4" fillId="0" borderId="35" xfId="1" applyNumberFormat="1" applyFont="1" applyFill="1" applyBorder="1" applyAlignment="1">
      <alignment horizontal="center" wrapText="1"/>
    </xf>
    <xf numFmtId="169" fontId="4" fillId="0" borderId="35" xfId="0" applyNumberFormat="1" applyFont="1" applyBorder="1" applyAlignment="1">
      <alignment horizontal="right" wrapText="1"/>
    </xf>
    <xf numFmtId="170" fontId="4" fillId="0" borderId="13" xfId="1" applyNumberFormat="1" applyFont="1" applyFill="1" applyBorder="1" applyAlignment="1">
      <alignment horizontal="center" wrapText="1"/>
    </xf>
    <xf numFmtId="169" fontId="4" fillId="0" borderId="13" xfId="0" applyNumberFormat="1" applyFont="1" applyBorder="1" applyAlignment="1">
      <alignment horizontal="right" wrapText="1"/>
    </xf>
    <xf numFmtId="166" fontId="4" fillId="0" borderId="14" xfId="1" applyNumberFormat="1" applyFont="1" applyFill="1" applyBorder="1"/>
    <xf numFmtId="0" fontId="6" fillId="0" borderId="9" xfId="0" applyFont="1" applyBorder="1"/>
    <xf numFmtId="167" fontId="4" fillId="2" borderId="4" xfId="1" applyNumberFormat="1" applyFont="1" applyFill="1" applyBorder="1"/>
    <xf numFmtId="166" fontId="4" fillId="2" borderId="4" xfId="1" applyNumberFormat="1" applyFont="1" applyFill="1" applyBorder="1"/>
    <xf numFmtId="0" fontId="4" fillId="0" borderId="9" xfId="0" applyFont="1" applyBorder="1" applyAlignment="1">
      <alignment horizontal="center" wrapText="1"/>
    </xf>
    <xf numFmtId="0" fontId="8" fillId="0" borderId="9" xfId="0" applyFont="1" applyBorder="1" applyAlignment="1">
      <alignment horizontal="center"/>
    </xf>
    <xf numFmtId="0" fontId="2" fillId="0" borderId="18" xfId="0" applyFont="1" applyBorder="1"/>
    <xf numFmtId="0" fontId="2" fillId="0" borderId="29" xfId="0" applyFont="1" applyBorder="1"/>
    <xf numFmtId="0" fontId="21" fillId="0" borderId="11" xfId="0" applyFont="1" applyBorder="1"/>
    <xf numFmtId="0" fontId="22" fillId="0" borderId="9" xfId="0" applyFont="1" applyBorder="1"/>
    <xf numFmtId="0" fontId="22" fillId="0" borderId="3" xfId="0" applyFont="1" applyBorder="1"/>
    <xf numFmtId="0" fontId="22" fillId="0" borderId="12" xfId="0" applyFont="1" applyBorder="1"/>
    <xf numFmtId="170" fontId="4" fillId="0" borderId="36" xfId="1" applyNumberFormat="1" applyFont="1" applyFill="1" applyBorder="1" applyAlignment="1">
      <alignment horizontal="center" wrapText="1"/>
    </xf>
    <xf numFmtId="169" fontId="4" fillId="0" borderId="36" xfId="0" applyNumberFormat="1" applyFont="1" applyBorder="1" applyAlignment="1">
      <alignment horizontal="right" wrapText="1"/>
    </xf>
    <xf numFmtId="0" fontId="4" fillId="0" borderId="20" xfId="0" applyFont="1" applyBorder="1"/>
    <xf numFmtId="167" fontId="4" fillId="0" borderId="6" xfId="1" applyNumberFormat="1" applyFont="1" applyFill="1" applyBorder="1"/>
    <xf numFmtId="167" fontId="4" fillId="0" borderId="7" xfId="1" applyNumberFormat="1" applyFont="1" applyFill="1" applyBorder="1"/>
    <xf numFmtId="0" fontId="4" fillId="0" borderId="4" xfId="0" applyFont="1" applyBorder="1" applyAlignment="1">
      <alignment wrapText="1"/>
    </xf>
    <xf numFmtId="0" fontId="6" fillId="0" borderId="0" xfId="0" applyFont="1"/>
    <xf numFmtId="164" fontId="5" fillId="0" borderId="0" xfId="0" applyNumberFormat="1" applyFont="1"/>
    <xf numFmtId="165" fontId="4" fillId="0" borderId="0" xfId="0" applyNumberFormat="1" applyFont="1"/>
    <xf numFmtId="0" fontId="12" fillId="0" borderId="5" xfId="0" applyFont="1" applyBorder="1"/>
    <xf numFmtId="0" fontId="4" fillId="0" borderId="1" xfId="0" applyFont="1" applyBorder="1"/>
    <xf numFmtId="1" fontId="4" fillId="0" borderId="0" xfId="0" applyNumberFormat="1" applyFont="1"/>
    <xf numFmtId="1" fontId="5" fillId="0" borderId="3" xfId="0" applyNumberFormat="1" applyFont="1" applyBorder="1"/>
    <xf numFmtId="1" fontId="4" fillId="0" borderId="3" xfId="0" applyNumberFormat="1" applyFont="1" applyBorder="1"/>
    <xf numFmtId="0" fontId="4" fillId="0" borderId="19" xfId="0" applyFont="1" applyBorder="1"/>
    <xf numFmtId="0" fontId="4" fillId="0" borderId="8" xfId="0" applyFont="1" applyBorder="1"/>
    <xf numFmtId="164" fontId="4" fillId="0" borderId="3" xfId="0" applyNumberFormat="1" applyFont="1" applyBorder="1"/>
    <xf numFmtId="164" fontId="4" fillId="0" borderId="0" xfId="0" applyNumberFormat="1" applyFont="1"/>
    <xf numFmtId="165" fontId="12" fillId="0" borderId="5" xfId="0" applyNumberFormat="1" applyFont="1" applyBorder="1"/>
    <xf numFmtId="165" fontId="12" fillId="0" borderId="6" xfId="0" applyNumberFormat="1" applyFont="1" applyBorder="1"/>
    <xf numFmtId="0" fontId="4" fillId="0" borderId="7" xfId="0" applyFont="1" applyBorder="1"/>
    <xf numFmtId="0" fontId="4" fillId="0" borderId="3" xfId="0" applyFont="1" applyBorder="1" applyAlignment="1">
      <alignment horizontal="left"/>
    </xf>
    <xf numFmtId="0" fontId="8" fillId="0" borderId="0" xfId="0" applyFont="1" applyAlignment="1">
      <alignment horizontal="right"/>
    </xf>
    <xf numFmtId="1" fontId="4" fillId="0" borderId="9" xfId="0" applyNumberFormat="1" applyFont="1" applyBorder="1"/>
    <xf numFmtId="2" fontId="4" fillId="0" borderId="3" xfId="0" applyNumberFormat="1" applyFont="1" applyBorder="1"/>
    <xf numFmtId="2" fontId="4" fillId="0" borderId="0" xfId="0" applyNumberFormat="1" applyFont="1"/>
    <xf numFmtId="2" fontId="4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vertical="center"/>
    </xf>
    <xf numFmtId="0" fontId="5" fillId="0" borderId="3" xfId="0" applyFont="1" applyBorder="1"/>
    <xf numFmtId="0" fontId="5" fillId="0" borderId="0" xfId="0" applyFont="1"/>
    <xf numFmtId="1" fontId="5" fillId="0" borderId="0" xfId="0" applyNumberFormat="1" applyFont="1"/>
    <xf numFmtId="0" fontId="26" fillId="0" borderId="3" xfId="0" applyFont="1" applyBorder="1"/>
    <xf numFmtId="165" fontId="5" fillId="0" borderId="3" xfId="0" applyNumberFormat="1" applyFont="1" applyBorder="1"/>
    <xf numFmtId="0" fontId="2" fillId="0" borderId="14" xfId="0" applyFont="1" applyBorder="1"/>
    <xf numFmtId="0" fontId="4" fillId="0" borderId="0" xfId="1" applyNumberFormat="1" applyFont="1" applyFill="1" applyBorder="1" applyAlignment="1">
      <alignment horizontal="left"/>
    </xf>
    <xf numFmtId="0" fontId="23" fillId="0" borderId="0" xfId="4" applyNumberFormat="1"/>
    <xf numFmtId="0" fontId="22" fillId="0" borderId="0" xfId="0" applyFont="1"/>
    <xf numFmtId="166" fontId="4" fillId="0" borderId="19" xfId="1" applyNumberFormat="1" applyFont="1" applyFill="1" applyBorder="1"/>
    <xf numFmtId="166" fontId="4" fillId="0" borderId="21" xfId="1" applyNumberFormat="1" applyFont="1" applyFill="1" applyBorder="1"/>
    <xf numFmtId="0" fontId="0" fillId="0" borderId="1" xfId="0" applyBorder="1"/>
    <xf numFmtId="0" fontId="0" fillId="0" borderId="34" xfId="0" applyBorder="1" applyAlignment="1">
      <alignment horizontal="center" wrapText="1"/>
    </xf>
    <xf numFmtId="166" fontId="4" fillId="0" borderId="9" xfId="1" applyNumberFormat="1" applyFont="1" applyBorder="1"/>
    <xf numFmtId="0" fontId="27" fillId="0" borderId="17" xfId="0" applyFont="1" applyBorder="1" applyAlignment="1">
      <alignment horizontal="left" wrapText="1"/>
    </xf>
    <xf numFmtId="0" fontId="28" fillId="0" borderId="17" xfId="0" applyFont="1" applyBorder="1" applyAlignment="1">
      <alignment horizontal="left" wrapText="1"/>
    </xf>
    <xf numFmtId="0" fontId="0" fillId="0" borderId="37" xfId="0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43" fontId="0" fillId="0" borderId="0" xfId="0" applyNumberFormat="1"/>
    <xf numFmtId="43" fontId="4" fillId="0" borderId="19" xfId="1" applyFont="1" applyBorder="1"/>
    <xf numFmtId="43" fontId="4" fillId="0" borderId="20" xfId="1" applyFont="1" applyBorder="1"/>
    <xf numFmtId="43" fontId="4" fillId="0" borderId="20" xfId="1" applyFont="1" applyFill="1" applyBorder="1"/>
    <xf numFmtId="43" fontId="4" fillId="0" borderId="21" xfId="1" applyFont="1" applyBorder="1"/>
    <xf numFmtId="43" fontId="4" fillId="0" borderId="3" xfId="1" applyFont="1" applyBorder="1"/>
    <xf numFmtId="43" fontId="4" fillId="0" borderId="0" xfId="1" applyFont="1" applyBorder="1"/>
    <xf numFmtId="43" fontId="4" fillId="0" borderId="4" xfId="1" applyFont="1" applyBorder="1"/>
    <xf numFmtId="43" fontId="4" fillId="0" borderId="5" xfId="1" applyFont="1" applyBorder="1"/>
    <xf numFmtId="43" fontId="4" fillId="0" borderId="6" xfId="1" applyFont="1" applyBorder="1"/>
    <xf numFmtId="43" fontId="4" fillId="0" borderId="7" xfId="1" applyFont="1" applyBorder="1"/>
    <xf numFmtId="171" fontId="4" fillId="0" borderId="35" xfId="1" applyNumberFormat="1" applyFont="1" applyFill="1" applyBorder="1" applyAlignment="1">
      <alignment horizontal="center" wrapText="1"/>
    </xf>
    <xf numFmtId="171" fontId="4" fillId="0" borderId="13" xfId="1" applyNumberFormat="1" applyFont="1" applyFill="1" applyBorder="1" applyAlignment="1">
      <alignment horizontal="center" wrapText="1"/>
    </xf>
    <xf numFmtId="172" fontId="4" fillId="0" borderId="13" xfId="1" applyNumberFormat="1" applyFont="1" applyFill="1" applyBorder="1" applyAlignment="1">
      <alignment horizontal="center" wrapText="1"/>
    </xf>
    <xf numFmtId="172" fontId="4" fillId="0" borderId="36" xfId="1" applyNumberFormat="1" applyFont="1" applyFill="1" applyBorder="1" applyAlignment="1">
      <alignment horizontal="center" wrapText="1"/>
    </xf>
    <xf numFmtId="43" fontId="4" fillId="0" borderId="3" xfId="1" applyFont="1" applyBorder="1" applyAlignment="1">
      <alignment horizontal="left" indent="2"/>
    </xf>
    <xf numFmtId="43" fontId="4" fillId="0" borderId="20" xfId="1" applyFont="1" applyBorder="1" applyAlignment="1">
      <alignment horizontal="left" indent="2"/>
    </xf>
    <xf numFmtId="43" fontId="4" fillId="0" borderId="0" xfId="1" applyFont="1" applyBorder="1" applyAlignment="1">
      <alignment horizontal="left" indent="2"/>
    </xf>
    <xf numFmtId="43" fontId="4" fillId="0" borderId="4" xfId="1" applyFont="1" applyBorder="1" applyAlignment="1">
      <alignment horizontal="left" indent="2"/>
    </xf>
    <xf numFmtId="43" fontId="4" fillId="0" borderId="21" xfId="1" applyFont="1" applyBorder="1" applyAlignment="1">
      <alignment horizontal="left" indent="2"/>
    </xf>
    <xf numFmtId="43" fontId="4" fillId="0" borderId="5" xfId="1" applyFont="1" applyBorder="1" applyAlignment="1">
      <alignment horizontal="left" indent="2"/>
    </xf>
    <xf numFmtId="43" fontId="4" fillId="0" borderId="6" xfId="1" applyFont="1" applyBorder="1" applyAlignment="1">
      <alignment horizontal="left" indent="2"/>
    </xf>
    <xf numFmtId="43" fontId="4" fillId="0" borderId="7" xfId="1" applyFont="1" applyBorder="1" applyAlignment="1">
      <alignment horizontal="left" indent="2"/>
    </xf>
    <xf numFmtId="43" fontId="4" fillId="0" borderId="3" xfId="1" applyFont="1" applyBorder="1" applyAlignment="1">
      <alignment horizontal="left" indent="1"/>
    </xf>
    <xf numFmtId="43" fontId="4" fillId="0" borderId="20" xfId="1" applyFont="1" applyBorder="1" applyAlignment="1">
      <alignment horizontal="left" indent="1"/>
    </xf>
    <xf numFmtId="43" fontId="4" fillId="0" borderId="0" xfId="1" applyFont="1" applyBorder="1" applyAlignment="1">
      <alignment horizontal="left" indent="1"/>
    </xf>
    <xf numFmtId="43" fontId="4" fillId="0" borderId="21" xfId="1" applyFont="1" applyBorder="1" applyAlignment="1">
      <alignment horizontal="left" indent="1"/>
    </xf>
    <xf numFmtId="43" fontId="4" fillId="0" borderId="5" xfId="1" applyFont="1" applyBorder="1" applyAlignment="1">
      <alignment horizontal="left" indent="1"/>
    </xf>
    <xf numFmtId="43" fontId="4" fillId="0" borderId="6" xfId="1" applyFont="1" applyBorder="1" applyAlignment="1">
      <alignment horizontal="left" indent="1"/>
    </xf>
    <xf numFmtId="43" fontId="4" fillId="0" borderId="4" xfId="1" applyFont="1" applyBorder="1" applyAlignment="1">
      <alignment horizontal="left" indent="1"/>
    </xf>
    <xf numFmtId="43" fontId="4" fillId="0" borderId="7" xfId="1" applyFont="1" applyBorder="1" applyAlignment="1">
      <alignment horizontal="left" indent="1"/>
    </xf>
    <xf numFmtId="43" fontId="4" fillId="0" borderId="2" xfId="1" applyFont="1" applyBorder="1"/>
    <xf numFmtId="43" fontId="4" fillId="0" borderId="26" xfId="1" applyFont="1" applyBorder="1"/>
    <xf numFmtId="43" fontId="4" fillId="0" borderId="12" xfId="1" applyFont="1" applyBorder="1"/>
    <xf numFmtId="43" fontId="4" fillId="0" borderId="0" xfId="1" applyFont="1" applyFill="1" applyBorder="1"/>
    <xf numFmtId="43" fontId="16" fillId="0" borderId="12" xfId="1" applyFont="1" applyFill="1" applyBorder="1"/>
    <xf numFmtId="43" fontId="4" fillId="0" borderId="1" xfId="1" applyFont="1" applyBorder="1"/>
    <xf numFmtId="43" fontId="4" fillId="0" borderId="31" xfId="1" applyFont="1" applyBorder="1"/>
    <xf numFmtId="43" fontId="4" fillId="0" borderId="32" xfId="1" applyFont="1" applyBorder="1"/>
    <xf numFmtId="173" fontId="4" fillId="0" borderId="13" xfId="0" applyNumberFormat="1" applyFont="1" applyBorder="1" applyAlignment="1">
      <alignment horizontal="right" wrapText="1"/>
    </xf>
    <xf numFmtId="174" fontId="4" fillId="0" borderId="13" xfId="0" applyNumberFormat="1" applyFont="1" applyBorder="1" applyAlignment="1">
      <alignment horizontal="right" wrapText="1"/>
    </xf>
    <xf numFmtId="174" fontId="4" fillId="0" borderId="36" xfId="0" applyNumberFormat="1" applyFont="1" applyBorder="1" applyAlignment="1">
      <alignment horizontal="right" wrapText="1"/>
    </xf>
    <xf numFmtId="175" fontId="4" fillId="0" borderId="13" xfId="0" applyNumberFormat="1" applyFont="1" applyBorder="1" applyAlignment="1">
      <alignment horizontal="right" wrapText="1"/>
    </xf>
    <xf numFmtId="43" fontId="4" fillId="0" borderId="4" xfId="1" applyFont="1" applyFill="1" applyBorder="1"/>
    <xf numFmtId="43" fontId="4" fillId="0" borderId="16" xfId="1" applyFont="1" applyBorder="1"/>
    <xf numFmtId="43" fontId="3" fillId="0" borderId="0" xfId="0" applyNumberFormat="1" applyFont="1"/>
    <xf numFmtId="167" fontId="30" fillId="0" borderId="4" xfId="1" applyNumberFormat="1" applyFont="1" applyBorder="1"/>
    <xf numFmtId="0" fontId="30" fillId="0" borderId="21" xfId="0" applyFont="1" applyBorder="1"/>
    <xf numFmtId="2" fontId="4" fillId="2" borderId="9" xfId="0" applyNumberFormat="1" applyFont="1" applyFill="1" applyBorder="1"/>
    <xf numFmtId="165" fontId="4" fillId="0" borderId="4" xfId="0" applyNumberFormat="1" applyFont="1" applyBorder="1"/>
    <xf numFmtId="2" fontId="4" fillId="0" borderId="4" xfId="0" applyNumberFormat="1" applyFont="1" applyBorder="1"/>
    <xf numFmtId="1" fontId="4" fillId="2" borderId="9" xfId="0" applyNumberFormat="1" applyFont="1" applyFill="1" applyBorder="1"/>
    <xf numFmtId="0" fontId="4" fillId="0" borderId="21" xfId="0" applyFont="1" applyBorder="1" applyAlignment="1">
      <alignment horizontal="right"/>
    </xf>
    <xf numFmtId="166" fontId="4" fillId="3" borderId="21" xfId="1" applyNumberFormat="1" applyFont="1" applyFill="1" applyBorder="1"/>
    <xf numFmtId="166" fontId="4" fillId="3" borderId="30" xfId="1" applyNumberFormat="1" applyFont="1" applyFill="1" applyBorder="1"/>
    <xf numFmtId="43" fontId="4" fillId="3" borderId="2" xfId="1" applyFont="1" applyFill="1" applyBorder="1"/>
    <xf numFmtId="43" fontId="4" fillId="3" borderId="26" xfId="1" applyFont="1" applyFill="1" applyBorder="1"/>
    <xf numFmtId="43" fontId="4" fillId="3" borderId="6" xfId="1" applyFont="1" applyFill="1" applyBorder="1"/>
    <xf numFmtId="43" fontId="4" fillId="3" borderId="28" xfId="1" applyFont="1" applyFill="1" applyBorder="1"/>
    <xf numFmtId="43" fontId="4" fillId="3" borderId="32" xfId="1" applyFont="1" applyFill="1" applyBorder="1"/>
    <xf numFmtId="43" fontId="4" fillId="3" borderId="33" xfId="1" applyFont="1" applyFill="1" applyBorder="1"/>
    <xf numFmtId="0" fontId="0" fillId="3" borderId="0" xfId="0" applyFill="1"/>
    <xf numFmtId="3" fontId="0" fillId="3" borderId="0" xfId="0" applyNumberFormat="1" applyFill="1" applyAlignment="1">
      <alignment horizontal="right"/>
    </xf>
    <xf numFmtId="43" fontId="4" fillId="0" borderId="4" xfId="1" applyFont="1" applyBorder="1" applyAlignment="1">
      <alignment horizontal="left"/>
    </xf>
    <xf numFmtId="43" fontId="4" fillId="0" borderId="7" xfId="1" applyFont="1" applyBorder="1" applyAlignment="1">
      <alignment horizontal="left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4" fillId="0" borderId="16" xfId="0" applyFont="1" applyBorder="1" applyAlignment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6" xfId="0" applyFont="1" applyBorder="1" applyAlignment="1">
      <alignment horizontal="left" wrapText="1"/>
    </xf>
    <xf numFmtId="0" fontId="4" fillId="0" borderId="7" xfId="0" applyFont="1" applyBorder="1" applyAlignment="1">
      <alignment horizontal="left" wrapText="1"/>
    </xf>
  </cellXfs>
  <cellStyles count="5">
    <cellStyle name="Comma" xfId="1" builtinId="3"/>
    <cellStyle name="Comma 2" xfId="3" xr:uid="{87C596B4-750D-41F5-B49D-49553026F219}"/>
    <cellStyle name="Hyperlink" xfId="4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1.xml"/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10" Type="http://purl.oclc.org/ooxml/officeDocument/relationships/customXml" Target="../customXml/item3.xml"/><Relationship Id="rId4" Type="http://purl.oclc.org/ooxml/officeDocument/relationships/theme" Target="theme/theme1.xml"/><Relationship Id="rId9" Type="http://purl.oclc.org/ooxml/officeDocument/relationships/customXml" Target="../customXml/item2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hyperlink" Target="https://www.epa.gov/ghgemissions/natural-gas-and-petroleum-systems-ghg-inventory-additional-information-1990-2022-ghg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5"/>
  <sheetViews>
    <sheetView tabSelected="1" zoomScaleNormal="100" workbookViewId="0">
      <pane xSplit="1" topLeftCell="B1" activePane="topRight" state="frozen"/>
      <selection pane="topRight"/>
    </sheetView>
  </sheetViews>
  <sheetFormatPr defaultColWidth="9.140625" defaultRowHeight="15" x14ac:dyDescent="0.25"/>
  <cols>
    <col min="1" max="1" width="39.42578125" bestFit="1" customWidth="1"/>
    <col min="2" max="4" width="26.5703125" customWidth="1"/>
    <col min="5" max="5" width="5.28515625" customWidth="1"/>
    <col min="6" max="6" width="19.85546875" customWidth="1"/>
    <col min="7" max="7" width="15.85546875" customWidth="1"/>
    <col min="8" max="8" width="14.7109375" customWidth="1"/>
    <col min="9" max="9" width="14.140625" customWidth="1"/>
  </cols>
  <sheetData>
    <row r="1" spans="1:16" ht="21" x14ac:dyDescent="0.25">
      <c r="A1" s="155" t="s">
        <v>123</v>
      </c>
    </row>
    <row r="2" spans="1:16" ht="24" x14ac:dyDescent="0.25">
      <c r="A2" s="155" t="s">
        <v>124</v>
      </c>
    </row>
    <row r="3" spans="1:16" ht="24" x14ac:dyDescent="0.25">
      <c r="A3" s="155" t="s">
        <v>132</v>
      </c>
    </row>
    <row r="4" spans="1:16" ht="13.5" customHeight="1" thickBot="1" x14ac:dyDescent="0.4">
      <c r="B4" s="19"/>
      <c r="C4" s="19"/>
      <c r="E4" s="19"/>
    </row>
    <row r="5" spans="1:16" ht="60.75" thickBot="1" x14ac:dyDescent="0.3">
      <c r="A5" s="217"/>
      <c r="B5" s="169" t="s">
        <v>113</v>
      </c>
      <c r="C5" s="169" t="s">
        <v>134</v>
      </c>
      <c r="D5" s="169" t="s">
        <v>134</v>
      </c>
      <c r="G5" s="223" t="s">
        <v>101</v>
      </c>
      <c r="H5" s="224" t="s">
        <v>135</v>
      </c>
      <c r="P5" s="18"/>
    </row>
    <row r="6" spans="1:16" x14ac:dyDescent="0.25">
      <c r="A6" s="166" t="s">
        <v>0</v>
      </c>
      <c r="B6" s="97" t="s">
        <v>106</v>
      </c>
      <c r="C6" s="225" t="s">
        <v>106</v>
      </c>
      <c r="D6" s="225" t="s">
        <v>107</v>
      </c>
      <c r="F6" s="89" t="s">
        <v>30</v>
      </c>
      <c r="G6" s="160" t="s">
        <v>114</v>
      </c>
      <c r="H6" s="160" t="s">
        <v>115</v>
      </c>
      <c r="P6" s="22"/>
    </row>
    <row r="7" spans="1:16" x14ac:dyDescent="0.25">
      <c r="A7" s="17" t="s">
        <v>85</v>
      </c>
      <c r="B7" s="215">
        <v>94532</v>
      </c>
      <c r="C7" s="85">
        <f>C40</f>
        <v>96437.03</v>
      </c>
      <c r="D7" s="233">
        <f>D40</f>
        <v>3857.27</v>
      </c>
      <c r="F7" s="5" t="s">
        <v>13</v>
      </c>
      <c r="G7" s="161">
        <v>28.663225000000001</v>
      </c>
      <c r="H7" s="162">
        <f>ROUND(G7/$G$17, 6)</f>
        <v>1.1465289999999999</v>
      </c>
      <c r="P7" s="22"/>
    </row>
    <row r="8" spans="1:16" x14ac:dyDescent="0.25">
      <c r="A8" s="13" t="s">
        <v>87</v>
      </c>
      <c r="B8" s="87">
        <v>18567</v>
      </c>
      <c r="C8" s="86">
        <f>C65</f>
        <v>23110.93</v>
      </c>
      <c r="D8" s="233">
        <f>D65</f>
        <v>924.2700000000001</v>
      </c>
      <c r="F8" s="5" t="s">
        <v>14</v>
      </c>
      <c r="G8" s="163">
        <v>20.281977999999999</v>
      </c>
      <c r="H8" s="164">
        <f>ROUND(G8/$G$17, 6)</f>
        <v>0.81127899999999997</v>
      </c>
      <c r="P8" s="22"/>
    </row>
    <row r="9" spans="1:16" x14ac:dyDescent="0.25">
      <c r="A9" s="13" t="s">
        <v>109</v>
      </c>
      <c r="B9" s="87">
        <v>2605</v>
      </c>
      <c r="C9" s="86">
        <f>C90</f>
        <v>2699.42</v>
      </c>
      <c r="D9" s="233">
        <f>D90</f>
        <v>107.94</v>
      </c>
      <c r="F9" s="5" t="s">
        <v>15</v>
      </c>
      <c r="G9" s="163">
        <v>1.804054</v>
      </c>
      <c r="H9" s="164">
        <f>ROUND(G9/$G$17, 6)</f>
        <v>7.2162000000000004E-2</v>
      </c>
      <c r="P9" s="22"/>
    </row>
    <row r="10" spans="1:16" ht="15.75" thickBot="1" x14ac:dyDescent="0.3">
      <c r="A10" s="13" t="s">
        <v>89</v>
      </c>
      <c r="B10" s="87">
        <v>1477</v>
      </c>
      <c r="C10" s="86">
        <f>C115</f>
        <v>1223.3800000000001</v>
      </c>
      <c r="D10" s="233">
        <f>D115</f>
        <v>48.949999999999996</v>
      </c>
      <c r="F10" s="5" t="s">
        <v>16</v>
      </c>
      <c r="G10" s="163">
        <v>0.215583</v>
      </c>
      <c r="H10" s="164">
        <f>ROUND(G10/$G$17, 6)</f>
        <v>8.6230000000000005E-3</v>
      </c>
      <c r="J10" s="18"/>
      <c r="P10" s="22"/>
    </row>
    <row r="11" spans="1:16" ht="14.1" customHeight="1" x14ac:dyDescent="0.25">
      <c r="A11" s="13" t="s">
        <v>88</v>
      </c>
      <c r="B11" s="87">
        <v>3877</v>
      </c>
      <c r="C11" s="87">
        <f>C140</f>
        <v>3723.4700000000003</v>
      </c>
      <c r="D11" s="269">
        <f>D140</f>
        <v>148.93</v>
      </c>
      <c r="F11" s="89" t="s">
        <v>11</v>
      </c>
      <c r="G11" s="160" t="s">
        <v>116</v>
      </c>
      <c r="H11" s="160" t="s">
        <v>117</v>
      </c>
      <c r="J11" s="18"/>
      <c r="P11" s="22"/>
    </row>
    <row r="12" spans="1:16" x14ac:dyDescent="0.25">
      <c r="A12" s="13" t="s">
        <v>86</v>
      </c>
      <c r="B12" s="216">
        <v>18756</v>
      </c>
      <c r="C12" s="88">
        <f>C165</f>
        <v>20025.68</v>
      </c>
      <c r="D12" s="233">
        <f>D165</f>
        <v>800.93000000000006</v>
      </c>
      <c r="F12" s="5" t="s">
        <v>14</v>
      </c>
      <c r="G12" s="163">
        <v>0.12958900000000001</v>
      </c>
      <c r="H12" s="164">
        <f>ROUND(G12/$G$17, 6)</f>
        <v>5.1840000000000002E-3</v>
      </c>
      <c r="J12" s="18"/>
      <c r="P12" s="22"/>
    </row>
    <row r="13" spans="1:16" ht="17.100000000000001" customHeight="1" x14ac:dyDescent="0.25">
      <c r="A13" s="211" t="s">
        <v>108</v>
      </c>
      <c r="B13" s="165">
        <f>SUM(B7:B12)</f>
        <v>139814</v>
      </c>
      <c r="C13" s="219">
        <f>SUM(C7:C12)</f>
        <v>147219.91</v>
      </c>
      <c r="D13" s="270">
        <f>SUM(D7:D12)</f>
        <v>5888.29</v>
      </c>
      <c r="F13" s="5" t="s">
        <v>15</v>
      </c>
      <c r="G13" s="163">
        <v>5.5981999999999997E-2</v>
      </c>
      <c r="H13" s="164">
        <f>ROUND(G13/$G$17, 6)</f>
        <v>2.2390000000000001E-3</v>
      </c>
      <c r="P13" s="22"/>
    </row>
    <row r="14" spans="1:16" x14ac:dyDescent="0.25">
      <c r="D14" s="226"/>
      <c r="F14" s="5" t="s">
        <v>16</v>
      </c>
      <c r="G14" s="163">
        <v>5.1359999999999999E-3</v>
      </c>
      <c r="H14" s="164">
        <f>ROUND(G14/$G$17, 6)</f>
        <v>2.05E-4</v>
      </c>
      <c r="P14" s="22"/>
    </row>
    <row r="15" spans="1:16" ht="15.75" thickBot="1" x14ac:dyDescent="0.3">
      <c r="F15" s="5" t="s">
        <v>17</v>
      </c>
      <c r="G15" s="177">
        <v>0.12192</v>
      </c>
      <c r="H15" s="178">
        <f>ROUND(G15/$G$17, 6)</f>
        <v>4.8770000000000003E-3</v>
      </c>
      <c r="P15" s="22"/>
    </row>
    <row r="16" spans="1:16" ht="15.75" thickBot="1" x14ac:dyDescent="0.3">
      <c r="C16" s="2"/>
      <c r="D16" s="2"/>
      <c r="F16" s="35"/>
      <c r="G16" s="35"/>
      <c r="H16" s="35"/>
      <c r="J16" s="18"/>
      <c r="K16" s="18"/>
      <c r="L16" s="18"/>
      <c r="M16" s="18"/>
      <c r="N16" s="18"/>
      <c r="O16" s="18"/>
      <c r="P16" s="18"/>
    </row>
    <row r="17" spans="1:9" ht="30.75" thickBot="1" x14ac:dyDescent="0.3">
      <c r="A17" s="9" t="s">
        <v>31</v>
      </c>
      <c r="B17" s="84" t="s">
        <v>68</v>
      </c>
      <c r="C17" s="169" t="s">
        <v>118</v>
      </c>
      <c r="D17" s="84" t="s">
        <v>119</v>
      </c>
      <c r="G17" s="159">
        <v>25</v>
      </c>
    </row>
    <row r="18" spans="1:9" x14ac:dyDescent="0.25">
      <c r="A18" s="11" t="s">
        <v>19</v>
      </c>
      <c r="B18" s="170">
        <v>2024</v>
      </c>
      <c r="C18" s="170">
        <v>2024</v>
      </c>
      <c r="D18" s="97">
        <v>2024</v>
      </c>
      <c r="G18" t="s">
        <v>102</v>
      </c>
      <c r="I18" s="35"/>
    </row>
    <row r="19" spans="1:9" x14ac:dyDescent="0.25">
      <c r="A19" s="13" t="s">
        <v>2</v>
      </c>
      <c r="B19" s="167">
        <v>542.90852642538039</v>
      </c>
      <c r="C19" s="47">
        <f>ROUND($B$19*$G$8,2)</f>
        <v>11011.26</v>
      </c>
      <c r="D19" s="233">
        <f>ROUND($B$19*$H$8,2)</f>
        <v>440.45</v>
      </c>
      <c r="G19" t="s">
        <v>103</v>
      </c>
      <c r="H19" s="18"/>
    </row>
    <row r="20" spans="1:9" x14ac:dyDescent="0.25">
      <c r="A20" s="13" t="s">
        <v>3</v>
      </c>
      <c r="B20" s="167">
        <v>454.87542015573962</v>
      </c>
      <c r="C20" s="47">
        <f>ROUND(B20*$G$8,2)</f>
        <v>9225.77</v>
      </c>
      <c r="D20" s="233">
        <f>ROUND(B20*$H$8,2)</f>
        <v>369.03</v>
      </c>
      <c r="G20" t="s">
        <v>122</v>
      </c>
    </row>
    <row r="21" spans="1:9" x14ac:dyDescent="0.25">
      <c r="A21" s="13" t="s">
        <v>4</v>
      </c>
      <c r="B21" s="167">
        <v>0</v>
      </c>
      <c r="C21" s="47">
        <f>ROUND(B21*$G$9,0)</f>
        <v>0</v>
      </c>
      <c r="D21" s="233">
        <f>ROUND(B21*$H$9,2)</f>
        <v>0</v>
      </c>
    </row>
    <row r="22" spans="1:9" x14ac:dyDescent="0.25">
      <c r="A22" s="13" t="s">
        <v>5</v>
      </c>
      <c r="B22" s="167">
        <v>2378.1249157364437</v>
      </c>
      <c r="C22" s="47">
        <f>ROUND(B22*$G$9,0)</f>
        <v>4290</v>
      </c>
      <c r="D22" s="233">
        <f>ROUND(B22*$H$9,2)</f>
        <v>171.61</v>
      </c>
    </row>
    <row r="23" spans="1:9" x14ac:dyDescent="0.25">
      <c r="A23" s="13" t="s">
        <v>6</v>
      </c>
      <c r="B23" s="167">
        <v>6426.8297807367089</v>
      </c>
      <c r="C23" s="47">
        <f>ROUND(B23*$G$10,0)</f>
        <v>1386</v>
      </c>
      <c r="D23" s="233">
        <f>ROUND(B23*$H$10,2)</f>
        <v>55.42</v>
      </c>
    </row>
    <row r="24" spans="1:9" x14ac:dyDescent="0.25">
      <c r="A24" s="13" t="s">
        <v>7</v>
      </c>
      <c r="B24" s="167">
        <v>1426.5265452457179</v>
      </c>
      <c r="C24" s="47">
        <f>ROUND(B24*$G$7,0)</f>
        <v>40889</v>
      </c>
      <c r="D24" s="233">
        <f>ROUND(B24*$H$7,2)</f>
        <v>1635.55</v>
      </c>
    </row>
    <row r="25" spans="1:9" x14ac:dyDescent="0.25">
      <c r="A25" s="13" t="s">
        <v>8</v>
      </c>
      <c r="B25" s="167">
        <v>0</v>
      </c>
      <c r="C25" s="47">
        <f>ROUND(B25*$G$7,0)</f>
        <v>0</v>
      </c>
      <c r="D25" s="233">
        <f>ROUND(B25*$H$7,2)</f>
        <v>0</v>
      </c>
    </row>
    <row r="26" spans="1:9" x14ac:dyDescent="0.25">
      <c r="A26" s="13" t="s">
        <v>9</v>
      </c>
      <c r="B26" s="167">
        <v>1.6856060606060607E-2</v>
      </c>
      <c r="C26" s="47">
        <f>ROUND(B26*$G$7,0)</f>
        <v>0</v>
      </c>
      <c r="D26" s="233">
        <f>ROUND(B26*$H$7,0)</f>
        <v>0</v>
      </c>
    </row>
    <row r="27" spans="1:9" x14ac:dyDescent="0.25">
      <c r="A27" s="13" t="s">
        <v>10</v>
      </c>
      <c r="B27" s="167">
        <v>0.3563409090909091</v>
      </c>
      <c r="C27" s="47">
        <f>ROUND(B27*$G$8,0)</f>
        <v>7</v>
      </c>
      <c r="D27" s="233">
        <f>ROUND(B27*$H$8,2)</f>
        <v>0.28999999999999998</v>
      </c>
    </row>
    <row r="28" spans="1:9" x14ac:dyDescent="0.25">
      <c r="A28" s="13" t="s">
        <v>21</v>
      </c>
      <c r="B28" s="61">
        <f>SUM(B19:B27)</f>
        <v>11229.638385269685</v>
      </c>
      <c r="C28" s="47">
        <f>SUM(C19:C27)</f>
        <v>66809.03</v>
      </c>
      <c r="D28" s="233">
        <f t="shared" ref="D28" si="0">SUM(D19:D27)</f>
        <v>2672.35</v>
      </c>
    </row>
    <row r="29" spans="1:9" x14ac:dyDescent="0.25">
      <c r="A29" s="11" t="s">
        <v>20</v>
      </c>
      <c r="B29" s="63"/>
      <c r="C29" s="47"/>
      <c r="D29" s="233"/>
    </row>
    <row r="30" spans="1:9" x14ac:dyDescent="0.25">
      <c r="A30" s="13" t="s">
        <v>2</v>
      </c>
      <c r="B30" s="168">
        <v>66762</v>
      </c>
      <c r="C30" s="47">
        <f>ROUND(B30*$G$12,0)</f>
        <v>8652</v>
      </c>
      <c r="D30" s="233">
        <f>ROUND(B30*$H$12,2)</f>
        <v>346.09</v>
      </c>
    </row>
    <row r="31" spans="1:9" x14ac:dyDescent="0.25">
      <c r="A31" s="13" t="s">
        <v>3</v>
      </c>
      <c r="B31" s="168">
        <v>21273</v>
      </c>
      <c r="C31" s="47">
        <f>ROUND(B31*$G$12,0)</f>
        <v>2757</v>
      </c>
      <c r="D31" s="233">
        <f>ROUND(B31*$H$12,2)</f>
        <v>110.28</v>
      </c>
    </row>
    <row r="32" spans="1:9" x14ac:dyDescent="0.25">
      <c r="A32" s="13" t="s">
        <v>4</v>
      </c>
      <c r="B32" s="168">
        <v>0</v>
      </c>
      <c r="C32" s="47">
        <f>ROUND(B32*$G$13,0)</f>
        <v>0</v>
      </c>
      <c r="D32" s="233">
        <f>ROUND(B32*$H$13,2)</f>
        <v>0</v>
      </c>
    </row>
    <row r="33" spans="1:4" x14ac:dyDescent="0.25">
      <c r="A33" s="13" t="s">
        <v>5</v>
      </c>
      <c r="B33" s="168">
        <v>63919</v>
      </c>
      <c r="C33" s="47">
        <f>ROUND(B33*$G$13,0)</f>
        <v>3578</v>
      </c>
      <c r="D33" s="233">
        <f>ROUND(B33*$H$13,2)</f>
        <v>143.11000000000001</v>
      </c>
    </row>
    <row r="34" spans="1:4" x14ac:dyDescent="0.25">
      <c r="A34" s="13" t="s">
        <v>6</v>
      </c>
      <c r="B34" s="168">
        <v>526476</v>
      </c>
      <c r="C34" s="47">
        <f>ROUND(B34*$G$14,0)</f>
        <v>2704</v>
      </c>
      <c r="D34" s="233">
        <f>ROUND(B34*$H$14,2)</f>
        <v>107.93</v>
      </c>
    </row>
    <row r="35" spans="1:4" x14ac:dyDescent="0.25">
      <c r="A35" s="13" t="s">
        <v>7</v>
      </c>
      <c r="B35" s="168">
        <v>1140</v>
      </c>
      <c r="C35" s="47">
        <f>ROUND(B35*$G$12,0)</f>
        <v>148</v>
      </c>
      <c r="D35" s="233">
        <f>ROUND(B35*$H$12,2)</f>
        <v>5.91</v>
      </c>
    </row>
    <row r="36" spans="1:4" x14ac:dyDescent="0.25">
      <c r="A36" s="13" t="s">
        <v>8</v>
      </c>
      <c r="B36" s="168">
        <v>0</v>
      </c>
      <c r="C36" s="47">
        <f>ROUND(B36*$G$12,0)</f>
        <v>0</v>
      </c>
      <c r="D36" s="233">
        <f>ROUND(B36*$H$12,2)</f>
        <v>0</v>
      </c>
    </row>
    <row r="37" spans="1:4" x14ac:dyDescent="0.25">
      <c r="A37" s="13" t="s">
        <v>9</v>
      </c>
      <c r="B37" s="168">
        <v>7300</v>
      </c>
      <c r="C37" s="47">
        <f>ROUND(B37*$G$15,0)</f>
        <v>890</v>
      </c>
      <c r="D37" s="233">
        <f>ROUND(B37*$H$15,2)</f>
        <v>35.6</v>
      </c>
    </row>
    <row r="38" spans="1:4" x14ac:dyDescent="0.25">
      <c r="A38" s="13" t="s">
        <v>10</v>
      </c>
      <c r="B38" s="168">
        <v>84104</v>
      </c>
      <c r="C38" s="47">
        <f>ROUND(B38*$G$12,0)</f>
        <v>10899</v>
      </c>
      <c r="D38" s="233">
        <f>ROUND(B38*$H$12,2)</f>
        <v>436</v>
      </c>
    </row>
    <row r="39" spans="1:4" x14ac:dyDescent="0.25">
      <c r="A39" s="13" t="s">
        <v>22</v>
      </c>
      <c r="B39" s="47">
        <f>SUM(B30:B38)</f>
        <v>770974</v>
      </c>
      <c r="C39" s="47">
        <f>SUM(C30:C38)</f>
        <v>29628</v>
      </c>
      <c r="D39" s="233">
        <f>SUM(D30:D38)</f>
        <v>1184.92</v>
      </c>
    </row>
    <row r="40" spans="1:4" x14ac:dyDescent="0.25">
      <c r="A40" s="14" t="s">
        <v>1</v>
      </c>
      <c r="B40" s="65"/>
      <c r="C40" s="48">
        <f t="shared" ref="C40" si="1">C28+C39</f>
        <v>96437.03</v>
      </c>
      <c r="D40" s="236">
        <f t="shared" ref="D40" si="2">D28+D39</f>
        <v>3857.27</v>
      </c>
    </row>
    <row r="42" spans="1:4" ht="30" x14ac:dyDescent="0.25">
      <c r="A42" s="9" t="s">
        <v>95</v>
      </c>
      <c r="B42" s="84" t="s">
        <v>68</v>
      </c>
      <c r="C42" s="169" t="s">
        <v>118</v>
      </c>
      <c r="D42" s="84" t="s">
        <v>119</v>
      </c>
    </row>
    <row r="43" spans="1:4" x14ac:dyDescent="0.25">
      <c r="A43" s="11" t="s">
        <v>19</v>
      </c>
      <c r="B43" s="170">
        <v>2024</v>
      </c>
      <c r="C43" s="170">
        <v>2024</v>
      </c>
      <c r="D43" s="97">
        <v>2024</v>
      </c>
    </row>
    <row r="44" spans="1:4" x14ac:dyDescent="0.25">
      <c r="A44" s="13" t="s">
        <v>2</v>
      </c>
      <c r="B44" s="167">
        <v>86.050000000000011</v>
      </c>
      <c r="C44" s="47">
        <f>ROUND(B44*$G$8,2)</f>
        <v>1745.26</v>
      </c>
      <c r="D44" s="233">
        <f>ROUND(B44*$H$8,2)</f>
        <v>69.81</v>
      </c>
    </row>
    <row r="45" spans="1:4" x14ac:dyDescent="0.25">
      <c r="A45" s="13" t="s">
        <v>3</v>
      </c>
      <c r="B45" s="167">
        <v>40.660000000000004</v>
      </c>
      <c r="C45" s="47">
        <f>ROUND(B45*$G$8,2)</f>
        <v>824.67</v>
      </c>
      <c r="D45" s="233">
        <f>ROUND(B45*$H$8,2)</f>
        <v>32.99</v>
      </c>
    </row>
    <row r="46" spans="1:4" x14ac:dyDescent="0.25">
      <c r="A46" s="13" t="s">
        <v>4</v>
      </c>
      <c r="B46" s="167">
        <v>0</v>
      </c>
      <c r="C46" s="47">
        <f>ROUND(B46*$G$9,0)</f>
        <v>0</v>
      </c>
      <c r="D46" s="233">
        <f>ROUND(B46*$H$9,2)</f>
        <v>0</v>
      </c>
    </row>
    <row r="47" spans="1:4" x14ac:dyDescent="0.25">
      <c r="A47" s="13" t="s">
        <v>5</v>
      </c>
      <c r="B47" s="167">
        <v>2153.2800000000002</v>
      </c>
      <c r="C47" s="47">
        <f>ROUND(B47*$G$9,0)</f>
        <v>3885</v>
      </c>
      <c r="D47" s="233">
        <f>ROUND(B47*$H$9,2)</f>
        <v>155.38</v>
      </c>
    </row>
    <row r="48" spans="1:4" x14ac:dyDescent="0.25">
      <c r="A48" s="13" t="s">
        <v>6</v>
      </c>
      <c r="B48" s="167">
        <v>2433.4199999999996</v>
      </c>
      <c r="C48" s="47">
        <f>ROUND(B48*$G$10,0)</f>
        <v>525</v>
      </c>
      <c r="D48" s="233">
        <f>ROUND(B48*$H$10,2)</f>
        <v>20.98</v>
      </c>
    </row>
    <row r="49" spans="1:4" x14ac:dyDescent="0.25">
      <c r="A49" s="13" t="s">
        <v>7</v>
      </c>
      <c r="B49" s="167">
        <v>318.37</v>
      </c>
      <c r="C49" s="47">
        <f>ROUND(B49*$G$7,0)</f>
        <v>9126</v>
      </c>
      <c r="D49" s="233">
        <f>ROUND(B49*$H$7,2)</f>
        <v>365.02</v>
      </c>
    </row>
    <row r="50" spans="1:4" x14ac:dyDescent="0.25">
      <c r="A50" s="13" t="s">
        <v>8</v>
      </c>
      <c r="B50" s="167">
        <v>0</v>
      </c>
      <c r="C50" s="47">
        <f>ROUND(B50*$G$7,0)</f>
        <v>0</v>
      </c>
      <c r="D50" s="233">
        <f>ROUND(B50*$H$7,2)</f>
        <v>0</v>
      </c>
    </row>
    <row r="51" spans="1:4" x14ac:dyDescent="0.25">
      <c r="A51" s="13" t="s">
        <v>9</v>
      </c>
      <c r="B51" s="167">
        <v>0</v>
      </c>
      <c r="C51" s="47">
        <f>ROUND(B51*$G$7,0)</f>
        <v>0</v>
      </c>
      <c r="D51" s="233">
        <f>ROUND(B51*$H$7,2)</f>
        <v>0</v>
      </c>
    </row>
    <row r="52" spans="1:4" x14ac:dyDescent="0.25">
      <c r="A52" s="13" t="s">
        <v>10</v>
      </c>
      <c r="B52" s="167">
        <v>0.7</v>
      </c>
      <c r="C52" s="47">
        <f>ROUND(B52*$G$8,0)</f>
        <v>14</v>
      </c>
      <c r="D52" s="233">
        <f>ROUND(B52*$H$8,2)</f>
        <v>0.56999999999999995</v>
      </c>
    </row>
    <row r="53" spans="1:4" x14ac:dyDescent="0.25">
      <c r="A53" s="13" t="s">
        <v>21</v>
      </c>
      <c r="B53" s="61">
        <f>SUM(B44:B52)</f>
        <v>5032.4799999999996</v>
      </c>
      <c r="C53" s="47">
        <f>SUM(C44:C52)</f>
        <v>16119.93</v>
      </c>
      <c r="D53" s="233">
        <f>SUM(D44:D52)</f>
        <v>644.75000000000011</v>
      </c>
    </row>
    <row r="54" spans="1:4" x14ac:dyDescent="0.25">
      <c r="A54" s="11" t="s">
        <v>20</v>
      </c>
      <c r="B54" s="63"/>
      <c r="C54" s="47"/>
      <c r="D54" s="233"/>
    </row>
    <row r="55" spans="1:4" x14ac:dyDescent="0.25">
      <c r="A55" s="13" t="s">
        <v>2</v>
      </c>
      <c r="B55" s="168">
        <v>26182</v>
      </c>
      <c r="C55" s="47">
        <f>ROUND(B55*$G$12,0)</f>
        <v>3393</v>
      </c>
      <c r="D55" s="233">
        <f>ROUND(B55*$H$12,2)</f>
        <v>135.72999999999999</v>
      </c>
    </row>
    <row r="56" spans="1:4" x14ac:dyDescent="0.25">
      <c r="A56" s="13" t="s">
        <v>3</v>
      </c>
      <c r="B56" s="168">
        <v>807</v>
      </c>
      <c r="C56" s="47">
        <f>ROUND(B56*$G$12,0)</f>
        <v>105</v>
      </c>
      <c r="D56" s="233">
        <f>ROUND(B56*$H$12,2)</f>
        <v>4.18</v>
      </c>
    </row>
    <row r="57" spans="1:4" x14ac:dyDescent="0.25">
      <c r="A57" s="13" t="s">
        <v>4</v>
      </c>
      <c r="B57" s="168">
        <v>0</v>
      </c>
      <c r="C57" s="47">
        <f>ROUND(B57*$G$13,0)</f>
        <v>0</v>
      </c>
      <c r="D57" s="233">
        <f>ROUND(B57*$H$13,2)</f>
        <v>0</v>
      </c>
    </row>
    <row r="58" spans="1:4" x14ac:dyDescent="0.25">
      <c r="A58" s="13" t="s">
        <v>5</v>
      </c>
      <c r="B58" s="168">
        <v>41578</v>
      </c>
      <c r="C58" s="47">
        <f>ROUND(B58*$G$13,0)</f>
        <v>2328</v>
      </c>
      <c r="D58" s="233">
        <f>ROUND(B58*$H$13,2)</f>
        <v>93.09</v>
      </c>
    </row>
    <row r="59" spans="1:4" x14ac:dyDescent="0.25">
      <c r="A59" s="13" t="s">
        <v>6</v>
      </c>
      <c r="B59" s="168">
        <v>214962</v>
      </c>
      <c r="C59" s="47">
        <f>ROUND(B59*$G$14,0)</f>
        <v>1104</v>
      </c>
      <c r="D59" s="233">
        <f>ROUND(B59*$H$14,2)</f>
        <v>44.07</v>
      </c>
    </row>
    <row r="60" spans="1:4" x14ac:dyDescent="0.25">
      <c r="A60" s="13" t="s">
        <v>7</v>
      </c>
      <c r="B60" s="168">
        <v>0</v>
      </c>
      <c r="C60" s="47">
        <f>ROUND(B60*$G$12,0)</f>
        <v>0</v>
      </c>
      <c r="D60" s="233">
        <f>ROUND(B60*$H$12,2)</f>
        <v>0</v>
      </c>
    </row>
    <row r="61" spans="1:4" x14ac:dyDescent="0.25">
      <c r="A61" s="13" t="s">
        <v>8</v>
      </c>
      <c r="B61" s="168">
        <v>0</v>
      </c>
      <c r="C61" s="47">
        <f>ROUND(B61*$G$12,0)</f>
        <v>0</v>
      </c>
      <c r="D61" s="233">
        <f>ROUND(B61*$H$12,2)</f>
        <v>0</v>
      </c>
    </row>
    <row r="62" spans="1:4" x14ac:dyDescent="0.25">
      <c r="A62" s="13" t="s">
        <v>9</v>
      </c>
      <c r="B62" s="168">
        <v>503</v>
      </c>
      <c r="C62" s="47">
        <f>ROUND(B62*$G$15,0)</f>
        <v>61</v>
      </c>
      <c r="D62" s="233">
        <f>ROUND(B62*$H$15,2)</f>
        <v>2.4500000000000002</v>
      </c>
    </row>
    <row r="63" spans="1:4" x14ac:dyDescent="0.25">
      <c r="A63" s="13" t="s">
        <v>10</v>
      </c>
      <c r="B63" s="168">
        <v>0</v>
      </c>
      <c r="C63" s="47">
        <f>ROUND(B63*$G$12,0)</f>
        <v>0</v>
      </c>
      <c r="D63" s="233">
        <f>ROUND(C63*$H$12,2)</f>
        <v>0</v>
      </c>
    </row>
    <row r="64" spans="1:4" x14ac:dyDescent="0.25">
      <c r="A64" s="13" t="s">
        <v>22</v>
      </c>
      <c r="B64" s="47">
        <f>SUM(B55:B63)</f>
        <v>284032</v>
      </c>
      <c r="C64" s="47">
        <f>SUM(C55:C63)</f>
        <v>6991</v>
      </c>
      <c r="D64" s="233">
        <f>SUM(D55:D63)</f>
        <v>279.52</v>
      </c>
    </row>
    <row r="65" spans="1:4" x14ac:dyDescent="0.25">
      <c r="A65" s="14" t="s">
        <v>1</v>
      </c>
      <c r="B65" s="65"/>
      <c r="C65" s="48">
        <f>C53+C64</f>
        <v>23110.93</v>
      </c>
      <c r="D65" s="236">
        <f>D53+D64</f>
        <v>924.2700000000001</v>
      </c>
    </row>
    <row r="67" spans="1:4" ht="30" x14ac:dyDescent="0.25">
      <c r="A67" s="9" t="s">
        <v>18</v>
      </c>
      <c r="B67" s="84" t="s">
        <v>68</v>
      </c>
      <c r="C67" s="169" t="s">
        <v>118</v>
      </c>
      <c r="D67" s="84" t="s">
        <v>119</v>
      </c>
    </row>
    <row r="68" spans="1:4" x14ac:dyDescent="0.25">
      <c r="A68" s="11" t="s">
        <v>19</v>
      </c>
      <c r="B68" s="170">
        <v>2024</v>
      </c>
      <c r="C68" s="170">
        <v>2024</v>
      </c>
      <c r="D68" s="97">
        <v>2024</v>
      </c>
    </row>
    <row r="69" spans="1:4" x14ac:dyDescent="0.25">
      <c r="A69" s="13" t="s">
        <v>2</v>
      </c>
      <c r="B69" s="167">
        <v>9.7799999999999994</v>
      </c>
      <c r="C69" s="47">
        <f>ROUND(B69*$G$8,2)</f>
        <v>198.36</v>
      </c>
      <c r="D69" s="289">
        <f>ROUND(B69*$H$8,2)</f>
        <v>7.93</v>
      </c>
    </row>
    <row r="70" spans="1:4" x14ac:dyDescent="0.25">
      <c r="A70" s="13" t="s">
        <v>3</v>
      </c>
      <c r="B70" s="167">
        <v>15.83</v>
      </c>
      <c r="C70" s="47">
        <f>ROUND(B70*$G$8,2)</f>
        <v>321.06</v>
      </c>
      <c r="D70" s="289">
        <f>ROUND(B70*$H$8,2)</f>
        <v>12.84</v>
      </c>
    </row>
    <row r="71" spans="1:4" x14ac:dyDescent="0.25">
      <c r="A71" s="13" t="s">
        <v>4</v>
      </c>
      <c r="B71" s="167">
        <v>0</v>
      </c>
      <c r="C71" s="47">
        <f>ROUND(B71*$G$9,0)</f>
        <v>0</v>
      </c>
      <c r="D71" s="289">
        <f>ROUND(B71*$H$9,2)</f>
        <v>0</v>
      </c>
    </row>
    <row r="72" spans="1:4" x14ac:dyDescent="0.25">
      <c r="A72" s="13" t="s">
        <v>5</v>
      </c>
      <c r="B72" s="167">
        <v>356.74</v>
      </c>
      <c r="C72" s="47">
        <f>ROUND(B72*$G$9,0)</f>
        <v>644</v>
      </c>
      <c r="D72" s="289">
        <f>ROUND(B72*$H$9,2)</f>
        <v>25.74</v>
      </c>
    </row>
    <row r="73" spans="1:4" x14ac:dyDescent="0.25">
      <c r="A73" s="13" t="s">
        <v>6</v>
      </c>
      <c r="B73" s="167">
        <v>356.65</v>
      </c>
      <c r="C73" s="47">
        <f>ROUND(B73*$G$10,0)</f>
        <v>77</v>
      </c>
      <c r="D73" s="289">
        <f>ROUND(B73*$H$10,2)</f>
        <v>3.08</v>
      </c>
    </row>
    <row r="74" spans="1:4" x14ac:dyDescent="0.25">
      <c r="A74" s="13" t="s">
        <v>7</v>
      </c>
      <c r="B74" s="167">
        <v>26.84</v>
      </c>
      <c r="C74" s="47">
        <f>ROUND(B74*$G$7,0)</f>
        <v>769</v>
      </c>
      <c r="D74" s="289">
        <f>ROUND(B74*$H$7,2)</f>
        <v>30.77</v>
      </c>
    </row>
    <row r="75" spans="1:4" x14ac:dyDescent="0.25">
      <c r="A75" s="13" t="s">
        <v>8</v>
      </c>
      <c r="B75" s="167">
        <v>0</v>
      </c>
      <c r="C75" s="47">
        <f>ROUND(B75*$G$7,0)</f>
        <v>0</v>
      </c>
      <c r="D75" s="289">
        <f>ROUND(B75*$H$7,2)</f>
        <v>0</v>
      </c>
    </row>
    <row r="76" spans="1:4" x14ac:dyDescent="0.25">
      <c r="A76" s="13" t="s">
        <v>9</v>
      </c>
      <c r="B76" s="167">
        <v>0</v>
      </c>
      <c r="C76" s="47">
        <f>ROUND(B76*$G$7,0)</f>
        <v>0</v>
      </c>
      <c r="D76" s="289">
        <f>ROUND(B76*$H$7,2)</f>
        <v>0</v>
      </c>
    </row>
    <row r="77" spans="1:4" x14ac:dyDescent="0.25">
      <c r="A77" s="13" t="s">
        <v>10</v>
      </c>
      <c r="B77" s="167">
        <v>0</v>
      </c>
      <c r="C77" s="47">
        <f>ROUND(B77*$G$8,0)</f>
        <v>0</v>
      </c>
      <c r="D77" s="289">
        <f>ROUND(B77*$H$8,2)</f>
        <v>0</v>
      </c>
    </row>
    <row r="78" spans="1:4" x14ac:dyDescent="0.25">
      <c r="A78" s="13" t="s">
        <v>21</v>
      </c>
      <c r="B78" s="61">
        <f>SUM(B69:B77)</f>
        <v>765.84</v>
      </c>
      <c r="C78" s="47">
        <f>SUM(C69:C77)</f>
        <v>2009.42</v>
      </c>
      <c r="D78" s="289">
        <f>SUM(D69:D77)</f>
        <v>80.36</v>
      </c>
    </row>
    <row r="79" spans="1:4" x14ac:dyDescent="0.25">
      <c r="A79" s="11" t="s">
        <v>20</v>
      </c>
      <c r="B79" s="63"/>
      <c r="C79" s="47"/>
      <c r="D79" s="289"/>
    </row>
    <row r="80" spans="1:4" x14ac:dyDescent="0.25">
      <c r="A80" s="13" t="s">
        <v>2</v>
      </c>
      <c r="B80" s="168">
        <v>857</v>
      </c>
      <c r="C80" s="47">
        <f>ROUND(B80*$G$12,0)</f>
        <v>111</v>
      </c>
      <c r="D80" s="289">
        <f>ROUND(B80*$H$12,2)</f>
        <v>4.4400000000000004</v>
      </c>
    </row>
    <row r="81" spans="1:4" x14ac:dyDescent="0.25">
      <c r="A81" s="13" t="s">
        <v>3</v>
      </c>
      <c r="B81" s="168">
        <v>661</v>
      </c>
      <c r="C81" s="47">
        <f>ROUND(B81*$G$12,0)</f>
        <v>86</v>
      </c>
      <c r="D81" s="289">
        <f>ROUND(B81*$H$12,2)</f>
        <v>3.43</v>
      </c>
    </row>
    <row r="82" spans="1:4" x14ac:dyDescent="0.25">
      <c r="A82" s="13" t="s">
        <v>4</v>
      </c>
      <c r="B82" s="168">
        <v>0</v>
      </c>
      <c r="C82" s="47">
        <f>ROUND(B82*$G$13,0)</f>
        <v>0</v>
      </c>
      <c r="D82" s="289">
        <f>ROUND(B82*$H$13,2)</f>
        <v>0</v>
      </c>
    </row>
    <row r="83" spans="1:4" x14ac:dyDescent="0.25">
      <c r="A83" s="13" t="s">
        <v>5</v>
      </c>
      <c r="B83" s="168">
        <v>6250</v>
      </c>
      <c r="C83" s="47">
        <f>ROUND(B83*$G$13,0)</f>
        <v>350</v>
      </c>
      <c r="D83" s="289">
        <f>ROUND(B83*$H$13,2)</f>
        <v>13.99</v>
      </c>
    </row>
    <row r="84" spans="1:4" x14ac:dyDescent="0.25">
      <c r="A84" s="13" t="s">
        <v>6</v>
      </c>
      <c r="B84" s="168">
        <v>25019</v>
      </c>
      <c r="C84" s="47">
        <f>ROUND(B84*$G$14,0)</f>
        <v>128</v>
      </c>
      <c r="D84" s="289">
        <f>ROUND(B84*$H$14,2)</f>
        <v>5.13</v>
      </c>
    </row>
    <row r="85" spans="1:4" x14ac:dyDescent="0.25">
      <c r="A85" s="13" t="s">
        <v>7</v>
      </c>
      <c r="B85" s="168">
        <v>1</v>
      </c>
      <c r="C85" s="47">
        <f>ROUND(B85*$G$12,0)</f>
        <v>0</v>
      </c>
      <c r="D85" s="289">
        <f>ROUND(B85*$H$12,2)</f>
        <v>0.01</v>
      </c>
    </row>
    <row r="86" spans="1:4" x14ac:dyDescent="0.25">
      <c r="A86" s="13" t="s">
        <v>8</v>
      </c>
      <c r="B86" s="168">
        <v>0</v>
      </c>
      <c r="C86" s="47">
        <f>ROUND(B86*$G$12,0)</f>
        <v>0</v>
      </c>
      <c r="D86" s="289">
        <f>ROUND(B86*$H$12,2)</f>
        <v>0</v>
      </c>
    </row>
    <row r="87" spans="1:4" x14ac:dyDescent="0.25">
      <c r="A87" s="13" t="s">
        <v>9</v>
      </c>
      <c r="B87" s="168">
        <v>119</v>
      </c>
      <c r="C87" s="47">
        <f>ROUND(B87*$G$15,0)</f>
        <v>15</v>
      </c>
      <c r="D87" s="289">
        <f>ROUND(B87*$H$15,2)</f>
        <v>0.57999999999999996</v>
      </c>
    </row>
    <row r="88" spans="1:4" x14ac:dyDescent="0.25">
      <c r="A88" s="13" t="s">
        <v>10</v>
      </c>
      <c r="B88" s="168">
        <v>0</v>
      </c>
      <c r="C88" s="47">
        <f>ROUND(B88*$G$12,0)</f>
        <v>0</v>
      </c>
      <c r="D88" s="289">
        <f>ROUND(B88*$H$12,2)</f>
        <v>0</v>
      </c>
    </row>
    <row r="89" spans="1:4" x14ac:dyDescent="0.25">
      <c r="A89" s="13" t="s">
        <v>22</v>
      </c>
      <c r="B89" s="47">
        <f>SUM(B80:B88)</f>
        <v>32907</v>
      </c>
      <c r="C89" s="47">
        <f>SUM(C80:C88)</f>
        <v>690</v>
      </c>
      <c r="D89" s="289">
        <f>SUM(D80:D88)</f>
        <v>27.58</v>
      </c>
    </row>
    <row r="90" spans="1:4" x14ac:dyDescent="0.25">
      <c r="A90" s="14" t="s">
        <v>1</v>
      </c>
      <c r="B90" s="65"/>
      <c r="C90" s="48">
        <f>C78+C89</f>
        <v>2699.42</v>
      </c>
      <c r="D90" s="290">
        <f>D78+D89</f>
        <v>107.94</v>
      </c>
    </row>
    <row r="91" spans="1:4" x14ac:dyDescent="0.25">
      <c r="C91" s="4"/>
    </row>
    <row r="92" spans="1:4" ht="30" x14ac:dyDescent="0.25">
      <c r="A92" s="9" t="s">
        <v>97</v>
      </c>
      <c r="B92" s="84" t="s">
        <v>68</v>
      </c>
      <c r="C92" s="169" t="s">
        <v>118</v>
      </c>
      <c r="D92" s="84" t="s">
        <v>119</v>
      </c>
    </row>
    <row r="93" spans="1:4" x14ac:dyDescent="0.25">
      <c r="A93" s="11" t="s">
        <v>19</v>
      </c>
      <c r="B93" s="170">
        <v>2024</v>
      </c>
      <c r="C93" s="170">
        <v>2024</v>
      </c>
      <c r="D93" s="97">
        <v>2024</v>
      </c>
    </row>
    <row r="94" spans="1:4" x14ac:dyDescent="0.25">
      <c r="A94" s="13" t="s">
        <v>2</v>
      </c>
      <c r="B94" s="167">
        <v>2.77</v>
      </c>
      <c r="C94" s="47">
        <f>ROUND(B94*$G$8,2)</f>
        <v>56.18</v>
      </c>
      <c r="D94" s="233">
        <f>ROUND(B94*$H$8,2)</f>
        <v>2.25</v>
      </c>
    </row>
    <row r="95" spans="1:4" x14ac:dyDescent="0.25">
      <c r="A95" s="13" t="s">
        <v>3</v>
      </c>
      <c r="B95" s="167">
        <v>3.56</v>
      </c>
      <c r="C95" s="47">
        <f>ROUND(B95*$G$8,2)</f>
        <v>72.2</v>
      </c>
      <c r="D95" s="233">
        <f>ROUND(B95*$H$8,2)</f>
        <v>2.89</v>
      </c>
    </row>
    <row r="96" spans="1:4" x14ac:dyDescent="0.25">
      <c r="A96" s="13" t="s">
        <v>4</v>
      </c>
      <c r="B96" s="167">
        <v>0</v>
      </c>
      <c r="C96" s="47">
        <f>ROUND(B96*$G$9,0)</f>
        <v>0</v>
      </c>
      <c r="D96" s="233">
        <f>ROUND(B96*$H$9,2)</f>
        <v>0</v>
      </c>
    </row>
    <row r="97" spans="1:4" x14ac:dyDescent="0.25">
      <c r="A97" s="13" t="s">
        <v>5</v>
      </c>
      <c r="B97" s="167">
        <v>112.66</v>
      </c>
      <c r="C97" s="47">
        <f>ROUND(B97*$G$9,0)</f>
        <v>203</v>
      </c>
      <c r="D97" s="233">
        <f>ROUND(B97*$H$9,2)</f>
        <v>8.1300000000000008</v>
      </c>
    </row>
    <row r="98" spans="1:4" x14ac:dyDescent="0.25">
      <c r="A98" s="13" t="s">
        <v>6</v>
      </c>
      <c r="B98" s="167">
        <v>128.22999999999999</v>
      </c>
      <c r="C98" s="47">
        <f>ROUND(B98*$G$10,0)</f>
        <v>28</v>
      </c>
      <c r="D98" s="233">
        <f>ROUND(B98*$H$10,2)</f>
        <v>1.1100000000000001</v>
      </c>
    </row>
    <row r="99" spans="1:4" x14ac:dyDescent="0.25">
      <c r="A99" s="13" t="s">
        <v>7</v>
      </c>
      <c r="B99" s="167">
        <v>20.94</v>
      </c>
      <c r="C99" s="47">
        <f>ROUND(B99*$G$7,0)</f>
        <v>600</v>
      </c>
      <c r="D99" s="233">
        <f>ROUND(B99*$H$7,2)</f>
        <v>24.01</v>
      </c>
    </row>
    <row r="100" spans="1:4" x14ac:dyDescent="0.25">
      <c r="A100" s="13" t="s">
        <v>8</v>
      </c>
      <c r="B100" s="167">
        <v>0.26</v>
      </c>
      <c r="C100" s="47">
        <f>ROUND(B100*$G$7,0)</f>
        <v>7</v>
      </c>
      <c r="D100" s="233">
        <f>ROUND(B100*$H$7,2)</f>
        <v>0.3</v>
      </c>
    </row>
    <row r="101" spans="1:4" x14ac:dyDescent="0.25">
      <c r="A101" s="13" t="s">
        <v>9</v>
      </c>
      <c r="B101" s="167">
        <v>0</v>
      </c>
      <c r="C101" s="47">
        <f>ROUND(B101*$G$7,0)</f>
        <v>0</v>
      </c>
      <c r="D101" s="233">
        <f>ROUND(B101*$H$7,2)</f>
        <v>0</v>
      </c>
    </row>
    <row r="102" spans="1:4" x14ac:dyDescent="0.25">
      <c r="A102" s="13" t="s">
        <v>10</v>
      </c>
      <c r="B102" s="167">
        <v>0</v>
      </c>
      <c r="C102" s="47">
        <f>ROUND(B102*$G$8,0)</f>
        <v>0</v>
      </c>
      <c r="D102" s="233">
        <f>ROUND(B102*$H$8,2)</f>
        <v>0</v>
      </c>
    </row>
    <row r="103" spans="1:4" x14ac:dyDescent="0.25">
      <c r="A103" s="13" t="s">
        <v>21</v>
      </c>
      <c r="B103" s="61">
        <f>SUM(B94:B102)</f>
        <v>268.41999999999996</v>
      </c>
      <c r="C103" s="47">
        <f>SUM(C94:C102)</f>
        <v>966.38</v>
      </c>
      <c r="D103" s="233">
        <f>SUM(D94:D102)</f>
        <v>38.69</v>
      </c>
    </row>
    <row r="104" spans="1:4" x14ac:dyDescent="0.25">
      <c r="A104" s="11" t="s">
        <v>20</v>
      </c>
      <c r="B104" s="63"/>
      <c r="C104" s="47"/>
      <c r="D104" s="233"/>
    </row>
    <row r="105" spans="1:4" x14ac:dyDescent="0.25">
      <c r="A105" s="13" t="s">
        <v>2</v>
      </c>
      <c r="B105" s="168">
        <v>677</v>
      </c>
      <c r="C105" s="47">
        <f>ROUND(B105*$G$12,0)</f>
        <v>88</v>
      </c>
      <c r="D105" s="233">
        <f>ROUND(B105*$H$12,2)</f>
        <v>3.51</v>
      </c>
    </row>
    <row r="106" spans="1:4" x14ac:dyDescent="0.25">
      <c r="A106" s="13" t="s">
        <v>3</v>
      </c>
      <c r="B106" s="168">
        <v>75</v>
      </c>
      <c r="C106" s="47">
        <f>ROUND(B106*$G$12,0)</f>
        <v>10</v>
      </c>
      <c r="D106" s="233">
        <f>ROUND(B106*$H$12,2)</f>
        <v>0.39</v>
      </c>
    </row>
    <row r="107" spans="1:4" x14ac:dyDescent="0.25">
      <c r="A107" s="13" t="s">
        <v>4</v>
      </c>
      <c r="B107" s="168">
        <v>0</v>
      </c>
      <c r="C107" s="47">
        <f>ROUND(B107*$G$13,0)</f>
        <v>0</v>
      </c>
      <c r="D107" s="233">
        <f>ROUND(B107*$H$13,2)</f>
        <v>0</v>
      </c>
    </row>
    <row r="108" spans="1:4" x14ac:dyDescent="0.25">
      <c r="A108" s="13" t="s">
        <v>5</v>
      </c>
      <c r="B108" s="168">
        <v>2074</v>
      </c>
      <c r="C108" s="47">
        <f>ROUND(B108*$G$13,0)</f>
        <v>116</v>
      </c>
      <c r="D108" s="233">
        <f>ROUND(B108*$H$13,2)</f>
        <v>4.6399999999999997</v>
      </c>
    </row>
    <row r="109" spans="1:4" x14ac:dyDescent="0.25">
      <c r="A109" s="13" t="s">
        <v>6</v>
      </c>
      <c r="B109" s="168">
        <v>8414</v>
      </c>
      <c r="C109" s="47">
        <f>ROUND(B109*$G$14,0)</f>
        <v>43</v>
      </c>
      <c r="D109" s="233">
        <f>ROUND(B109*$H$14,2)</f>
        <v>1.72</v>
      </c>
    </row>
    <row r="110" spans="1:4" x14ac:dyDescent="0.25">
      <c r="A110" s="13" t="s">
        <v>7</v>
      </c>
      <c r="B110" s="168">
        <v>0</v>
      </c>
      <c r="C110" s="47">
        <f>ROUND(B110*$G$12,0)</f>
        <v>0</v>
      </c>
      <c r="D110" s="233">
        <f>ROUND(B110*$H$12,2)</f>
        <v>0</v>
      </c>
    </row>
    <row r="111" spans="1:4" x14ac:dyDescent="0.25">
      <c r="A111" s="13" t="s">
        <v>8</v>
      </c>
      <c r="B111" s="168">
        <v>0</v>
      </c>
      <c r="C111" s="47">
        <f>ROUND(B111*$G$12,0)</f>
        <v>0</v>
      </c>
      <c r="D111" s="233">
        <f>ROUND(B111*$H$12,2)</f>
        <v>0</v>
      </c>
    </row>
    <row r="112" spans="1:4" x14ac:dyDescent="0.25">
      <c r="A112" s="13" t="s">
        <v>9</v>
      </c>
      <c r="B112" s="168">
        <v>0</v>
      </c>
      <c r="C112" s="47">
        <f>ROUND(B112*$G$15,0)</f>
        <v>0</v>
      </c>
      <c r="D112" s="233">
        <f>ROUND(B112*$H$15,2)</f>
        <v>0</v>
      </c>
    </row>
    <row r="113" spans="1:4" x14ac:dyDescent="0.25">
      <c r="A113" s="13" t="s">
        <v>10</v>
      </c>
      <c r="B113" s="168">
        <v>0</v>
      </c>
      <c r="C113" s="47">
        <f>ROUND(B113*$G$12,0)</f>
        <v>0</v>
      </c>
      <c r="D113" s="233">
        <f>ROUND(B113*$H$12,2)</f>
        <v>0</v>
      </c>
    </row>
    <row r="114" spans="1:4" x14ac:dyDescent="0.25">
      <c r="A114" s="13" t="s">
        <v>22</v>
      </c>
      <c r="B114" s="47">
        <f>SUM(B105:B113)</f>
        <v>11240</v>
      </c>
      <c r="C114" s="47">
        <f>SUM(C105:C113)</f>
        <v>257</v>
      </c>
      <c r="D114" s="233">
        <f>SUM(D105:D113)</f>
        <v>10.26</v>
      </c>
    </row>
    <row r="115" spans="1:4" x14ac:dyDescent="0.25">
      <c r="A115" s="14" t="s">
        <v>1</v>
      </c>
      <c r="B115" s="65"/>
      <c r="C115" s="48">
        <f>C103+C114</f>
        <v>1223.3800000000001</v>
      </c>
      <c r="D115" s="236">
        <f>D103+D114</f>
        <v>48.949999999999996</v>
      </c>
    </row>
    <row r="116" spans="1:4" x14ac:dyDescent="0.25">
      <c r="C116" s="4"/>
    </row>
    <row r="117" spans="1:4" ht="30" x14ac:dyDescent="0.25">
      <c r="A117" s="9" t="s">
        <v>24</v>
      </c>
      <c r="B117" s="84" t="s">
        <v>68</v>
      </c>
      <c r="C117" s="169" t="s">
        <v>118</v>
      </c>
      <c r="D117" s="84" t="s">
        <v>119</v>
      </c>
    </row>
    <row r="118" spans="1:4" x14ac:dyDescent="0.25">
      <c r="A118" s="11" t="s">
        <v>19</v>
      </c>
      <c r="B118" s="170">
        <v>2024</v>
      </c>
      <c r="C118" s="170">
        <v>2024</v>
      </c>
      <c r="D118" s="97">
        <v>2024</v>
      </c>
    </row>
    <row r="119" spans="1:4" x14ac:dyDescent="0.25">
      <c r="A119" s="13" t="s">
        <v>2</v>
      </c>
      <c r="B119" s="167">
        <v>8.870000000000001</v>
      </c>
      <c r="C119" s="47">
        <f>ROUND(B119*$G$8,2)</f>
        <v>179.9</v>
      </c>
      <c r="D119" s="233">
        <f>ROUND(B119*$H$8,2)</f>
        <v>7.2</v>
      </c>
    </row>
    <row r="120" spans="1:4" x14ac:dyDescent="0.25">
      <c r="A120" s="13" t="s">
        <v>3</v>
      </c>
      <c r="B120" s="167">
        <v>28.279999999999998</v>
      </c>
      <c r="C120" s="47">
        <f>ROUND(B120*$G$8,2)</f>
        <v>573.57000000000005</v>
      </c>
      <c r="D120" s="233">
        <f>ROUND(B120*$H$8,2)</f>
        <v>22.94</v>
      </c>
    </row>
    <row r="121" spans="1:4" x14ac:dyDescent="0.25">
      <c r="A121" s="13" t="s">
        <v>4</v>
      </c>
      <c r="B121" s="167">
        <v>0</v>
      </c>
      <c r="C121" s="47">
        <f>ROUND(B121*$G$9,0)</f>
        <v>0</v>
      </c>
      <c r="D121" s="233">
        <f>ROUND(B121*$H$9,2)</f>
        <v>0</v>
      </c>
    </row>
    <row r="122" spans="1:4" x14ac:dyDescent="0.25">
      <c r="A122" s="13" t="s">
        <v>5</v>
      </c>
      <c r="B122" s="167">
        <v>158.57999999999998</v>
      </c>
      <c r="C122" s="47">
        <f>ROUND(B122*$G$9,0)</f>
        <v>286</v>
      </c>
      <c r="D122" s="233">
        <f>ROUND(B122*$H$9,2)</f>
        <v>11.44</v>
      </c>
    </row>
    <row r="123" spans="1:4" x14ac:dyDescent="0.25">
      <c r="A123" s="13" t="s">
        <v>6</v>
      </c>
      <c r="B123" s="167">
        <v>375.75</v>
      </c>
      <c r="C123" s="47">
        <f>ROUND(B123*$G$10,0)</f>
        <v>81</v>
      </c>
      <c r="D123" s="233">
        <f>ROUND(B123*$H$10,2)</f>
        <v>3.24</v>
      </c>
    </row>
    <row r="124" spans="1:4" x14ac:dyDescent="0.25">
      <c r="A124" s="13" t="s">
        <v>7</v>
      </c>
      <c r="B124" s="167">
        <v>58.69</v>
      </c>
      <c r="C124" s="47">
        <f>ROUND(B124*$G$7,0)</f>
        <v>1682</v>
      </c>
      <c r="D124" s="233">
        <f>ROUND(B124*$H$7,2)</f>
        <v>67.290000000000006</v>
      </c>
    </row>
    <row r="125" spans="1:4" x14ac:dyDescent="0.25">
      <c r="A125" s="13" t="s">
        <v>8</v>
      </c>
      <c r="B125" s="167">
        <v>0</v>
      </c>
      <c r="C125" s="47">
        <f>ROUND(B125*$G$7,0)</f>
        <v>0</v>
      </c>
      <c r="D125" s="233">
        <f>ROUND(B125*$H$7,2)</f>
        <v>0</v>
      </c>
    </row>
    <row r="126" spans="1:4" x14ac:dyDescent="0.25">
      <c r="A126" s="13" t="s">
        <v>9</v>
      </c>
      <c r="B126" s="167">
        <v>0</v>
      </c>
      <c r="C126" s="47">
        <f>ROUND(B126*$G$7,0)</f>
        <v>0</v>
      </c>
      <c r="D126" s="233">
        <f>ROUND(B126*$H$7,2)</f>
        <v>0</v>
      </c>
    </row>
    <row r="127" spans="1:4" x14ac:dyDescent="0.25">
      <c r="A127" s="13" t="s">
        <v>10</v>
      </c>
      <c r="B127" s="167">
        <v>0</v>
      </c>
      <c r="C127" s="47">
        <f>ROUND(B127*$G$8,0)</f>
        <v>0</v>
      </c>
      <c r="D127" s="233">
        <f>ROUND(B127*$H$8,2)</f>
        <v>0</v>
      </c>
    </row>
    <row r="128" spans="1:4" x14ac:dyDescent="0.25">
      <c r="A128" s="13" t="s">
        <v>21</v>
      </c>
      <c r="B128" s="61">
        <f>SUM(B119:B127)</f>
        <v>630.17000000000007</v>
      </c>
      <c r="C128" s="47">
        <f>SUM(C119:C127)</f>
        <v>2802.4700000000003</v>
      </c>
      <c r="D128" s="233">
        <f>SUM(D119:D127)</f>
        <v>112.11000000000001</v>
      </c>
    </row>
    <row r="129" spans="1:4" x14ac:dyDescent="0.25">
      <c r="A129" s="11" t="s">
        <v>20</v>
      </c>
      <c r="B129" s="63"/>
      <c r="C129" s="47"/>
      <c r="D129" s="233"/>
    </row>
    <row r="130" spans="1:4" x14ac:dyDescent="0.25">
      <c r="A130" s="13" t="s">
        <v>2</v>
      </c>
      <c r="B130" s="168">
        <v>2896</v>
      </c>
      <c r="C130" s="47">
        <f>ROUND(B130*$G$12,0)</f>
        <v>375</v>
      </c>
      <c r="D130" s="233">
        <f>ROUND(B130*$H$12,2)</f>
        <v>15.01</v>
      </c>
    </row>
    <row r="131" spans="1:4" x14ac:dyDescent="0.25">
      <c r="A131" s="13" t="s">
        <v>3</v>
      </c>
      <c r="B131" s="168">
        <v>2796</v>
      </c>
      <c r="C131" s="47">
        <f>ROUND(B131*$G$12,0)</f>
        <v>362</v>
      </c>
      <c r="D131" s="233">
        <f>ROUND(B131*$H$12,2)</f>
        <v>14.49</v>
      </c>
    </row>
    <row r="132" spans="1:4" x14ac:dyDescent="0.25">
      <c r="A132" s="13" t="s">
        <v>4</v>
      </c>
      <c r="B132" s="168">
        <v>0</v>
      </c>
      <c r="C132" s="47">
        <f>ROUND(B132*$G$13,0)</f>
        <v>0</v>
      </c>
      <c r="D132" s="233">
        <f>ROUND(B132*$H$13,2)</f>
        <v>0</v>
      </c>
    </row>
    <row r="133" spans="1:4" x14ac:dyDescent="0.25">
      <c r="A133" s="13" t="s">
        <v>5</v>
      </c>
      <c r="B133" s="168">
        <v>832</v>
      </c>
      <c r="C133" s="47">
        <f>ROUND(B133*$G$13,0)</f>
        <v>47</v>
      </c>
      <c r="D133" s="233">
        <f>ROUND(B133*$H$13,2)</f>
        <v>1.86</v>
      </c>
    </row>
    <row r="134" spans="1:4" x14ac:dyDescent="0.25">
      <c r="A134" s="13" t="s">
        <v>6</v>
      </c>
      <c r="B134" s="168">
        <v>26626</v>
      </c>
      <c r="C134" s="47">
        <f>ROUND(B134*$G$14,0)</f>
        <v>137</v>
      </c>
      <c r="D134" s="233">
        <f>ROUND(B134*$H$14,2)</f>
        <v>5.46</v>
      </c>
    </row>
    <row r="135" spans="1:4" x14ac:dyDescent="0.25">
      <c r="A135" s="13" t="s">
        <v>7</v>
      </c>
      <c r="B135" s="168">
        <v>0</v>
      </c>
      <c r="C135" s="47">
        <f>ROUND(B135*$G$12,0)</f>
        <v>0</v>
      </c>
      <c r="D135" s="233">
        <f>ROUND(B135*$H$12,2)</f>
        <v>0</v>
      </c>
    </row>
    <row r="136" spans="1:4" x14ac:dyDescent="0.25">
      <c r="A136" s="13" t="s">
        <v>8</v>
      </c>
      <c r="B136" s="168">
        <v>0</v>
      </c>
      <c r="C136" s="47">
        <f>ROUND(B136*$G$12,0)</f>
        <v>0</v>
      </c>
      <c r="D136" s="233">
        <f>ROUND(B136*$H$12,2)</f>
        <v>0</v>
      </c>
    </row>
    <row r="137" spans="1:4" x14ac:dyDescent="0.25">
      <c r="A137" s="13" t="s">
        <v>9</v>
      </c>
      <c r="B137" s="168">
        <v>0</v>
      </c>
      <c r="C137" s="47">
        <f>ROUND(B137*$G$15,0)</f>
        <v>0</v>
      </c>
      <c r="D137" s="233">
        <f>ROUND(B137*$H$15,2)</f>
        <v>0</v>
      </c>
    </row>
    <row r="138" spans="1:4" x14ac:dyDescent="0.25">
      <c r="A138" s="13" t="s">
        <v>10</v>
      </c>
      <c r="B138" s="168">
        <v>0</v>
      </c>
      <c r="C138" s="47">
        <f>ROUND(B138*$G$12,0)</f>
        <v>0</v>
      </c>
      <c r="D138" s="233">
        <f>ROUND(B138*$H$12,2)</f>
        <v>0</v>
      </c>
    </row>
    <row r="139" spans="1:4" x14ac:dyDescent="0.25">
      <c r="A139" s="13" t="s">
        <v>22</v>
      </c>
      <c r="B139" s="47">
        <f>SUM(B130:B138)</f>
        <v>33150</v>
      </c>
      <c r="C139" s="47">
        <f>SUM(C130:C138)</f>
        <v>921</v>
      </c>
      <c r="D139" s="233">
        <f>SUM(D130:D138)</f>
        <v>36.82</v>
      </c>
    </row>
    <row r="140" spans="1:4" x14ac:dyDescent="0.25">
      <c r="A140" s="14" t="s">
        <v>1</v>
      </c>
      <c r="B140" s="65"/>
      <c r="C140" s="48">
        <f>C128+C139</f>
        <v>3723.4700000000003</v>
      </c>
      <c r="D140" s="236">
        <f>D128+D139</f>
        <v>148.93</v>
      </c>
    </row>
    <row r="142" spans="1:4" ht="30" x14ac:dyDescent="0.25">
      <c r="A142" s="9" t="s">
        <v>96</v>
      </c>
      <c r="B142" s="84" t="s">
        <v>68</v>
      </c>
      <c r="C142" s="169" t="s">
        <v>118</v>
      </c>
      <c r="D142" s="84" t="s">
        <v>119</v>
      </c>
    </row>
    <row r="143" spans="1:4" x14ac:dyDescent="0.25">
      <c r="A143" s="11" t="s">
        <v>19</v>
      </c>
      <c r="B143" s="170">
        <v>2024</v>
      </c>
      <c r="C143" s="170">
        <v>2024</v>
      </c>
      <c r="D143" s="97">
        <v>2024</v>
      </c>
    </row>
    <row r="144" spans="1:4" x14ac:dyDescent="0.25">
      <c r="A144" s="13" t="s">
        <v>2</v>
      </c>
      <c r="B144" s="167">
        <v>106.44999999999999</v>
      </c>
      <c r="C144" s="47">
        <f>ROUND(B144*$G$8,2)</f>
        <v>2159.02</v>
      </c>
      <c r="D144" s="233">
        <f>ROUND(B144*$H$8,2)</f>
        <v>86.36</v>
      </c>
    </row>
    <row r="145" spans="1:4" x14ac:dyDescent="0.25">
      <c r="A145" s="13" t="s">
        <v>3</v>
      </c>
      <c r="B145" s="167">
        <v>328.6</v>
      </c>
      <c r="C145" s="47">
        <f>ROUND(B145*$G$8,2)</f>
        <v>6664.66</v>
      </c>
      <c r="D145" s="233">
        <f>ROUND(B145*$H$8,2)</f>
        <v>266.58999999999997</v>
      </c>
    </row>
    <row r="146" spans="1:4" x14ac:dyDescent="0.25">
      <c r="A146" s="13" t="s">
        <v>4</v>
      </c>
      <c r="B146" s="167">
        <v>0</v>
      </c>
      <c r="C146" s="47">
        <f>ROUND(B146*$G$9,0)</f>
        <v>0</v>
      </c>
      <c r="D146" s="233">
        <f>ROUND(B146*$H$9,2)</f>
        <v>0</v>
      </c>
    </row>
    <row r="147" spans="1:4" x14ac:dyDescent="0.25">
      <c r="A147" s="13" t="s">
        <v>5</v>
      </c>
      <c r="B147" s="167">
        <v>372.52</v>
      </c>
      <c r="C147" s="47">
        <f>ROUND(B147*$G$9,0)</f>
        <v>672</v>
      </c>
      <c r="D147" s="233">
        <f>ROUND(B147*$H$9,2)</f>
        <v>26.88</v>
      </c>
    </row>
    <row r="148" spans="1:4" x14ac:dyDescent="0.25">
      <c r="A148" s="13" t="s">
        <v>6</v>
      </c>
      <c r="B148" s="167">
        <v>2306.4700000000003</v>
      </c>
      <c r="C148" s="47">
        <f>ROUND(B148*$G$10,0)</f>
        <v>497</v>
      </c>
      <c r="D148" s="233">
        <f>ROUND(B148*$H$10,2)</f>
        <v>19.89</v>
      </c>
    </row>
    <row r="149" spans="1:4" x14ac:dyDescent="0.25">
      <c r="A149" s="13" t="s">
        <v>7</v>
      </c>
      <c r="B149" s="167">
        <v>213.5</v>
      </c>
      <c r="C149" s="47">
        <f>ROUND(B149*$G$7,0)</f>
        <v>6120</v>
      </c>
      <c r="D149" s="233">
        <f>ROUND(B149*$H$7,2)</f>
        <v>244.78</v>
      </c>
    </row>
    <row r="150" spans="1:4" x14ac:dyDescent="0.25">
      <c r="A150" s="13" t="s">
        <v>8</v>
      </c>
      <c r="B150" s="167">
        <v>0</v>
      </c>
      <c r="C150" s="47">
        <f>ROUND(B150*$G$7,0)</f>
        <v>0</v>
      </c>
      <c r="D150" s="233">
        <f>ROUND(B150*$H$7,2)</f>
        <v>0</v>
      </c>
    </row>
    <row r="151" spans="1:4" x14ac:dyDescent="0.25">
      <c r="A151" s="13" t="s">
        <v>9</v>
      </c>
      <c r="B151" s="167">
        <v>0</v>
      </c>
      <c r="C151" s="47">
        <f>ROUND(B151*$G$7,0)</f>
        <v>0</v>
      </c>
      <c r="D151" s="233">
        <f>ROUND(B151*$H$7,2)</f>
        <v>0</v>
      </c>
    </row>
    <row r="152" spans="1:4" x14ac:dyDescent="0.25">
      <c r="A152" s="13" t="s">
        <v>10</v>
      </c>
      <c r="B152" s="167">
        <v>0</v>
      </c>
      <c r="C152" s="47">
        <f>ROUND(B152*$G$8,0)</f>
        <v>0</v>
      </c>
      <c r="D152" s="233">
        <f>ROUND(B152*$H$8,2)</f>
        <v>0</v>
      </c>
    </row>
    <row r="153" spans="1:4" x14ac:dyDescent="0.25">
      <c r="A153" s="13" t="s">
        <v>21</v>
      </c>
      <c r="B153" s="61">
        <f>SUM(B144:B152)</f>
        <v>3327.54</v>
      </c>
      <c r="C153" s="47">
        <f>SUM(C144:C152)</f>
        <v>16112.68</v>
      </c>
      <c r="D153" s="233">
        <f>SUM(D144:D152)</f>
        <v>644.5</v>
      </c>
    </row>
    <row r="154" spans="1:4" x14ac:dyDescent="0.25">
      <c r="A154" s="11" t="s">
        <v>20</v>
      </c>
      <c r="B154" s="63"/>
      <c r="C154" s="47"/>
      <c r="D154" s="233"/>
    </row>
    <row r="155" spans="1:4" x14ac:dyDescent="0.25">
      <c r="A155" s="13" t="s">
        <v>2</v>
      </c>
      <c r="B155" s="168">
        <v>10449</v>
      </c>
      <c r="C155" s="47">
        <f>ROUND(B155*$G$12,0)</f>
        <v>1354</v>
      </c>
      <c r="D155" s="233">
        <f>ROUND(B155*$H$12,2)</f>
        <v>54.17</v>
      </c>
    </row>
    <row r="156" spans="1:4" x14ac:dyDescent="0.25">
      <c r="A156" s="13" t="s">
        <v>3</v>
      </c>
      <c r="B156" s="168">
        <v>4648</v>
      </c>
      <c r="C156" s="47">
        <f>ROUND(B156*$G$12,0)</f>
        <v>602</v>
      </c>
      <c r="D156" s="233">
        <f>ROUND(B156*$H$12,2)</f>
        <v>24.1</v>
      </c>
    </row>
    <row r="157" spans="1:4" x14ac:dyDescent="0.25">
      <c r="A157" s="13" t="s">
        <v>4</v>
      </c>
      <c r="B157" s="168">
        <v>0</v>
      </c>
      <c r="C157" s="47">
        <f>ROUND(B157*$G$13,0)</f>
        <v>0</v>
      </c>
      <c r="D157" s="233">
        <f>ROUND(B157*$H$13,2)</f>
        <v>0</v>
      </c>
    </row>
    <row r="158" spans="1:4" x14ac:dyDescent="0.25">
      <c r="A158" s="13" t="s">
        <v>5</v>
      </c>
      <c r="B158" s="168">
        <v>17893</v>
      </c>
      <c r="C158" s="47">
        <f>ROUND(B158*$G$13,0)</f>
        <v>1002</v>
      </c>
      <c r="D158" s="233">
        <f>ROUND(B158*$H$13,2)</f>
        <v>40.06</v>
      </c>
    </row>
    <row r="159" spans="1:4" x14ac:dyDescent="0.25">
      <c r="A159" s="13" t="s">
        <v>6</v>
      </c>
      <c r="B159" s="168">
        <v>177874</v>
      </c>
      <c r="C159" s="47">
        <f>ROUND(B159*$G$14,0)</f>
        <v>914</v>
      </c>
      <c r="D159" s="233">
        <f>ROUND(B159*$H$14,2)</f>
        <v>36.46</v>
      </c>
    </row>
    <row r="160" spans="1:4" x14ac:dyDescent="0.25">
      <c r="A160" s="13" t="s">
        <v>7</v>
      </c>
      <c r="B160" s="168">
        <v>7</v>
      </c>
      <c r="C160" s="47">
        <f>ROUND(B160*$G$12,0)</f>
        <v>1</v>
      </c>
      <c r="D160" s="233">
        <f>ROUND(B160*$H$12,2)</f>
        <v>0.04</v>
      </c>
    </row>
    <row r="161" spans="1:4" x14ac:dyDescent="0.25">
      <c r="A161" s="13" t="s">
        <v>8</v>
      </c>
      <c r="B161" s="168">
        <v>0</v>
      </c>
      <c r="C161" s="47">
        <f>ROUND(B161*$G$12,0)</f>
        <v>0</v>
      </c>
      <c r="D161" s="233">
        <f>ROUND(B161*$H$12,2)</f>
        <v>0</v>
      </c>
    </row>
    <row r="162" spans="1:4" x14ac:dyDescent="0.25">
      <c r="A162" s="13" t="s">
        <v>9</v>
      </c>
      <c r="B162" s="168">
        <v>328</v>
      </c>
      <c r="C162" s="47">
        <f>ROUND(B162*$G$15,0)</f>
        <v>40</v>
      </c>
      <c r="D162" s="233">
        <f>ROUND(B162*$H$15,2)</f>
        <v>1.6</v>
      </c>
    </row>
    <row r="163" spans="1:4" x14ac:dyDescent="0.25">
      <c r="A163" s="13" t="s">
        <v>10</v>
      </c>
      <c r="B163" s="168">
        <v>0</v>
      </c>
      <c r="C163" s="47">
        <f>ROUND(B163*$G$12,0)</f>
        <v>0</v>
      </c>
      <c r="D163" s="233">
        <f>ROUND(B163*$H$12,2)</f>
        <v>0</v>
      </c>
    </row>
    <row r="164" spans="1:4" x14ac:dyDescent="0.25">
      <c r="A164" s="13" t="s">
        <v>22</v>
      </c>
      <c r="B164" s="47">
        <f>SUM(B155:B163)</f>
        <v>211199</v>
      </c>
      <c r="C164" s="47">
        <f>SUM(C155:C163)</f>
        <v>3913</v>
      </c>
      <c r="D164" s="233">
        <f>SUM(D155:D163)</f>
        <v>156.43</v>
      </c>
    </row>
    <row r="165" spans="1:4" x14ac:dyDescent="0.25">
      <c r="A165" s="14" t="s">
        <v>1</v>
      </c>
      <c r="B165" s="65"/>
      <c r="C165" s="48">
        <f>C153+C164</f>
        <v>20025.68</v>
      </c>
      <c r="D165" s="236">
        <f>D153+D164</f>
        <v>800.93000000000006</v>
      </c>
    </row>
  </sheetData>
  <pageMargins left="0.5" right="0.5" top="0.5" bottom="0.25" header="0.3" footer="0.3"/>
  <pageSetup scale="46" fitToHeight="0" orientation="portrait" r:id="rId1"/>
  <headerFooter>
    <oddFooter>&amp;R&amp;P</oddFooter>
  </headerFooter>
  <rowBreaks count="1" manualBreakCount="1">
    <brk id="66" max="16383" man="1"/>
  </rowBreaks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B14D5-1385-4454-BFE9-B058BCA4A6ED}">
  <dimension ref="A1:P14"/>
  <sheetViews>
    <sheetView workbookViewId="0"/>
  </sheetViews>
  <sheetFormatPr defaultColWidth="9.140625" defaultRowHeight="15" x14ac:dyDescent="0.25"/>
  <cols>
    <col min="1" max="1" width="39.42578125" bestFit="1" customWidth="1"/>
    <col min="2" max="4" width="26.5703125" customWidth="1"/>
    <col min="5" max="5" width="5.28515625" customWidth="1"/>
    <col min="6" max="6" width="19.85546875" customWidth="1"/>
    <col min="7" max="8" width="13.85546875" customWidth="1"/>
    <col min="9" max="9" width="14.140625" customWidth="1"/>
  </cols>
  <sheetData>
    <row r="1" spans="1:16" ht="21" x14ac:dyDescent="0.25">
      <c r="A1" s="155" t="s">
        <v>120</v>
      </c>
    </row>
    <row r="2" spans="1:16" ht="21" x14ac:dyDescent="0.25">
      <c r="A2" s="155" t="s">
        <v>121</v>
      </c>
    </row>
    <row r="3" spans="1:16" ht="21" x14ac:dyDescent="0.25">
      <c r="A3" s="155"/>
    </row>
    <row r="4" spans="1:16" ht="13.5" customHeight="1" thickBot="1" x14ac:dyDescent="0.4">
      <c r="B4" s="19"/>
      <c r="C4" s="19"/>
      <c r="E4" s="19"/>
    </row>
    <row r="5" spans="1:16" ht="45.75" thickBot="1" x14ac:dyDescent="0.3">
      <c r="A5" s="217"/>
      <c r="B5" s="169"/>
      <c r="C5" s="169" t="s">
        <v>133</v>
      </c>
      <c r="D5" s="169" t="s">
        <v>133</v>
      </c>
      <c r="F5" s="159">
        <v>25</v>
      </c>
      <c r="P5" s="18"/>
    </row>
    <row r="6" spans="1:16" x14ac:dyDescent="0.25">
      <c r="A6" s="166" t="s">
        <v>0</v>
      </c>
      <c r="B6" s="97"/>
      <c r="C6" s="225" t="s">
        <v>106</v>
      </c>
      <c r="D6" s="225" t="s">
        <v>107</v>
      </c>
      <c r="F6" t="s">
        <v>102</v>
      </c>
      <c r="P6" s="22"/>
    </row>
    <row r="7" spans="1:16" x14ac:dyDescent="0.25">
      <c r="A7" s="17" t="s">
        <v>85</v>
      </c>
      <c r="B7" s="215"/>
      <c r="C7" s="47">
        <f t="shared" ref="C7:C12" si="0">D7*$F$5</f>
        <v>142333.42180256918</v>
      </c>
      <c r="D7" s="233">
        <v>5693.3368721027673</v>
      </c>
      <c r="F7" t="s">
        <v>103</v>
      </c>
      <c r="P7" s="22"/>
    </row>
    <row r="8" spans="1:16" x14ac:dyDescent="0.25">
      <c r="A8" s="13" t="s">
        <v>87</v>
      </c>
      <c r="B8" s="87"/>
      <c r="C8" s="47">
        <f t="shared" si="0"/>
        <v>31513.455308236695</v>
      </c>
      <c r="D8" s="233">
        <v>1260.5382123294678</v>
      </c>
      <c r="F8" t="s">
        <v>122</v>
      </c>
      <c r="P8" s="22"/>
    </row>
    <row r="9" spans="1:16" x14ac:dyDescent="0.25">
      <c r="A9" s="13" t="s">
        <v>109</v>
      </c>
      <c r="B9" s="87"/>
      <c r="C9" s="47">
        <f t="shared" si="0"/>
        <v>3379.6387636226527</v>
      </c>
      <c r="D9" s="233">
        <v>135.18555054490611</v>
      </c>
      <c r="P9" s="22"/>
    </row>
    <row r="10" spans="1:16" x14ac:dyDescent="0.25">
      <c r="A10" s="13" t="s">
        <v>89</v>
      </c>
      <c r="B10" s="87"/>
      <c r="C10" s="47">
        <f t="shared" si="0"/>
        <v>1509.4564757437968</v>
      </c>
      <c r="D10" s="233">
        <v>60.378259029751874</v>
      </c>
      <c r="J10" s="18"/>
      <c r="P10" s="22"/>
    </row>
    <row r="11" spans="1:16" ht="14.1" customHeight="1" x14ac:dyDescent="0.25">
      <c r="A11" s="13" t="s">
        <v>88</v>
      </c>
      <c r="B11" s="87"/>
      <c r="C11" s="80">
        <f t="shared" si="0"/>
        <v>5415.9575502698308</v>
      </c>
      <c r="D11" s="269">
        <v>216.63830201079324</v>
      </c>
      <c r="J11" s="18"/>
      <c r="P11" s="22"/>
    </row>
    <row r="12" spans="1:16" x14ac:dyDescent="0.25">
      <c r="A12" s="13" t="s">
        <v>86</v>
      </c>
      <c r="B12" s="216"/>
      <c r="C12" s="47">
        <f t="shared" si="0"/>
        <v>25368.535931742274</v>
      </c>
      <c r="D12" s="233">
        <v>1014.7414372696909</v>
      </c>
      <c r="J12" s="18"/>
      <c r="P12" s="22"/>
    </row>
    <row r="13" spans="1:16" ht="17.100000000000001" customHeight="1" x14ac:dyDescent="0.25">
      <c r="A13" s="211" t="s">
        <v>108</v>
      </c>
      <c r="B13" s="165"/>
      <c r="C13" s="219">
        <f>SUM(C7:C12)</f>
        <v>209520.46583218445</v>
      </c>
      <c r="D13" s="270">
        <f>SUM(D7:D12)</f>
        <v>8380.8186332873756</v>
      </c>
      <c r="P13" s="22"/>
    </row>
    <row r="14" spans="1:16" x14ac:dyDescent="0.25">
      <c r="P14" s="22"/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C9955-F8A1-477A-A82D-D32D0E480C61}">
  <sheetPr>
    <pageSetUpPr fitToPage="1"/>
  </sheetPr>
  <dimension ref="A1:AF169"/>
  <sheetViews>
    <sheetView zoomScaleNormal="100" workbookViewId="0"/>
  </sheetViews>
  <sheetFormatPr defaultColWidth="9.140625" defaultRowHeight="15" x14ac:dyDescent="0.25"/>
  <cols>
    <col min="1" max="1" width="39.42578125" bestFit="1" customWidth="1"/>
    <col min="2" max="2" width="13.85546875" customWidth="1"/>
    <col min="3" max="7" width="11" customWidth="1"/>
    <col min="8" max="8" width="2.85546875" customWidth="1"/>
    <col min="9" max="9" width="22.140625" customWidth="1"/>
    <col min="10" max="10" width="14" customWidth="1"/>
    <col min="11" max="11" width="12.5703125" customWidth="1"/>
    <col min="12" max="12" width="10.140625" customWidth="1"/>
    <col min="13" max="13" width="21.42578125" bestFit="1" customWidth="1"/>
    <col min="14" max="14" width="15.140625" customWidth="1"/>
    <col min="15" max="15" width="11.140625" customWidth="1"/>
    <col min="16" max="16" width="2.5703125" customWidth="1"/>
    <col min="17" max="20" width="12.140625" bestFit="1" customWidth="1"/>
    <col min="21" max="22" width="10.7109375" customWidth="1"/>
    <col min="23" max="23" width="3.7109375" customWidth="1"/>
    <col min="24" max="24" width="38.85546875" customWidth="1"/>
    <col min="25" max="30" width="12.42578125" customWidth="1"/>
    <col min="31" max="31" width="11.42578125" customWidth="1"/>
    <col min="32" max="32" width="11.7109375" customWidth="1"/>
  </cols>
  <sheetData>
    <row r="1" spans="1:28" ht="30.95" customHeight="1" x14ac:dyDescent="0.35">
      <c r="A1" s="155" t="s">
        <v>139</v>
      </c>
      <c r="B1" s="19"/>
      <c r="C1" s="19"/>
      <c r="D1" s="19"/>
      <c r="E1" s="19"/>
      <c r="F1" s="19"/>
      <c r="G1" s="19"/>
      <c r="H1" s="19"/>
      <c r="I1" s="19"/>
      <c r="K1" s="19"/>
      <c r="L1" s="19"/>
      <c r="M1" s="19"/>
      <c r="N1" s="19"/>
      <c r="O1" s="19"/>
      <c r="P1" s="19"/>
      <c r="R1" s="19"/>
      <c r="S1" s="19"/>
      <c r="T1" s="19"/>
      <c r="U1" s="19"/>
      <c r="V1" s="19"/>
    </row>
    <row r="2" spans="1:28" ht="17.100000000000001" customHeight="1" thickBot="1" x14ac:dyDescent="0.4">
      <c r="A2" s="155"/>
      <c r="B2" s="19"/>
      <c r="C2" s="19"/>
      <c r="D2" s="19"/>
      <c r="E2" s="19"/>
      <c r="F2" s="19"/>
      <c r="G2" s="19"/>
      <c r="H2" s="19"/>
      <c r="I2" s="19"/>
      <c r="K2" s="19"/>
      <c r="L2" s="19"/>
      <c r="M2" s="19"/>
      <c r="N2" s="19"/>
      <c r="O2" s="19"/>
      <c r="P2" s="19"/>
      <c r="R2" s="19"/>
      <c r="S2" s="19"/>
      <c r="T2" s="19"/>
      <c r="U2" s="19"/>
      <c r="V2" s="19"/>
    </row>
    <row r="3" spans="1:28" ht="15.75" thickBot="1" x14ac:dyDescent="0.3">
      <c r="A3" s="156"/>
      <c r="B3" s="291" t="s">
        <v>57</v>
      </c>
      <c r="C3" s="292"/>
      <c r="D3" s="292"/>
      <c r="E3" s="292"/>
      <c r="F3" s="292"/>
      <c r="G3" s="293"/>
      <c r="J3" s="3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spans="1:28" ht="48" thickBot="1" x14ac:dyDescent="0.3">
      <c r="A4" s="21"/>
      <c r="B4" s="84" t="s">
        <v>104</v>
      </c>
      <c r="C4" s="297" t="s">
        <v>105</v>
      </c>
      <c r="D4" s="298"/>
      <c r="E4" s="298"/>
      <c r="F4" s="298"/>
      <c r="G4" s="299"/>
      <c r="I4" s="220" t="s">
        <v>127</v>
      </c>
      <c r="M4" s="221" t="s">
        <v>92</v>
      </c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spans="1:28" x14ac:dyDescent="0.25">
      <c r="A5" s="173" t="s">
        <v>0</v>
      </c>
      <c r="B5" s="174">
        <v>2024</v>
      </c>
      <c r="C5" s="175">
        <v>2025</v>
      </c>
      <c r="D5" s="214">
        <v>2026</v>
      </c>
      <c r="E5" s="214">
        <v>2027</v>
      </c>
      <c r="F5" s="214">
        <v>2028</v>
      </c>
      <c r="G5" s="176">
        <v>2029</v>
      </c>
      <c r="I5" s="160" t="s">
        <v>115</v>
      </c>
      <c r="J5" s="20" t="s">
        <v>91</v>
      </c>
      <c r="M5" s="222" t="s">
        <v>130</v>
      </c>
      <c r="N5" s="20" t="s">
        <v>91</v>
      </c>
      <c r="Q5" s="35"/>
      <c r="S5" s="22"/>
      <c r="T5" s="28"/>
      <c r="U5" s="22"/>
      <c r="V5" s="22"/>
      <c r="W5" s="18"/>
      <c r="X5" s="18"/>
      <c r="Y5" s="31"/>
      <c r="Z5" s="31"/>
      <c r="AA5" s="31"/>
      <c r="AB5" s="31"/>
    </row>
    <row r="6" spans="1:28" ht="14.45" customHeight="1" x14ac:dyDescent="0.25">
      <c r="A6" s="157" t="s">
        <v>85</v>
      </c>
      <c r="B6" s="227">
        <f t="shared" ref="B6:E6" si="0">Q44</f>
        <v>5693.3368721027673</v>
      </c>
      <c r="C6" s="257">
        <f t="shared" si="0"/>
        <v>5501.6328522174035</v>
      </c>
      <c r="D6" s="257">
        <f t="shared" si="0"/>
        <v>5330.9621775047035</v>
      </c>
      <c r="E6" s="257">
        <f t="shared" si="0"/>
        <v>5160.2915027920035</v>
      </c>
      <c r="F6" s="257">
        <f>U44</f>
        <v>4990.7492488918497</v>
      </c>
      <c r="G6" s="258">
        <f>V44</f>
        <v>4821.206994991695</v>
      </c>
      <c r="I6" s="265">
        <f>ROUND(M6*$M$15,16)</f>
        <v>1.15726816887904</v>
      </c>
      <c r="J6" s="120" t="s">
        <v>93</v>
      </c>
      <c r="K6" s="271"/>
      <c r="M6" s="237">
        <v>1157.2681688790399</v>
      </c>
      <c r="N6" s="120" t="s">
        <v>13</v>
      </c>
      <c r="O6" s="6"/>
      <c r="Y6" s="31"/>
      <c r="Z6" s="31"/>
      <c r="AA6" s="31"/>
      <c r="AB6" s="31"/>
    </row>
    <row r="7" spans="1:28" ht="14.45" customHeight="1" x14ac:dyDescent="0.25">
      <c r="A7" s="21" t="s">
        <v>87</v>
      </c>
      <c r="B7" s="228">
        <f t="shared" ref="B7:G7" si="1">Q69</f>
        <v>1260.5382123294678</v>
      </c>
      <c r="C7" s="232">
        <f t="shared" si="1"/>
        <v>1183.3352339433991</v>
      </c>
      <c r="D7" s="232">
        <f t="shared" si="1"/>
        <v>1106.1322555573302</v>
      </c>
      <c r="E7" s="232">
        <f t="shared" si="1"/>
        <v>1025.7807695683616</v>
      </c>
      <c r="F7" s="232">
        <f t="shared" si="1"/>
        <v>945.42928357939331</v>
      </c>
      <c r="G7" s="259">
        <f t="shared" si="1"/>
        <v>865.07779759042478</v>
      </c>
      <c r="I7" s="265">
        <f>ROUND(M7*$M$15,16)</f>
        <v>0.86132462545737998</v>
      </c>
      <c r="J7" s="120" t="s">
        <v>90</v>
      </c>
      <c r="K7" s="271"/>
      <c r="M7" s="238">
        <v>861.32462545737997</v>
      </c>
      <c r="N7" s="120" t="s">
        <v>14</v>
      </c>
      <c r="O7" s="6"/>
      <c r="Y7" s="18"/>
      <c r="Z7" s="18"/>
      <c r="AA7" s="18"/>
      <c r="AB7" s="18"/>
    </row>
    <row r="8" spans="1:28" x14ac:dyDescent="0.25">
      <c r="A8" s="21" t="s">
        <v>99</v>
      </c>
      <c r="B8" s="228">
        <f>Q94</f>
        <v>135.18555054490611</v>
      </c>
      <c r="C8" s="232">
        <f>R94</f>
        <v>116.67456223306985</v>
      </c>
      <c r="D8" s="232">
        <f>S94</f>
        <v>105.73101696036522</v>
      </c>
      <c r="E8" s="260">
        <f>T94</f>
        <v>94.785269965626895</v>
      </c>
      <c r="F8" s="226" t="s">
        <v>43</v>
      </c>
      <c r="G8" s="261"/>
      <c r="I8" s="265">
        <f>ROUND(M8*$M$15,16)</f>
        <v>9.6748918635804301E-2</v>
      </c>
      <c r="J8" s="120" t="s">
        <v>15</v>
      </c>
      <c r="K8" s="271"/>
      <c r="M8" s="238">
        <v>96.748918635804273</v>
      </c>
      <c r="N8" s="120" t="s">
        <v>15</v>
      </c>
      <c r="O8" s="6"/>
      <c r="Y8" s="18"/>
      <c r="Z8" s="18"/>
      <c r="AA8" s="18"/>
      <c r="AB8" s="18"/>
    </row>
    <row r="9" spans="1:28" ht="15.75" thickBot="1" x14ac:dyDescent="0.3">
      <c r="A9" s="21" t="s">
        <v>89</v>
      </c>
      <c r="B9" s="228">
        <f t="shared" ref="B9:G9" si="2">Q119</f>
        <v>60.378259029751874</v>
      </c>
      <c r="C9" s="232">
        <f t="shared" si="2"/>
        <v>53.028258240666403</v>
      </c>
      <c r="D9" s="232">
        <f t="shared" si="2"/>
        <v>46.490588515979525</v>
      </c>
      <c r="E9" s="232">
        <f t="shared" si="2"/>
        <v>38.690208395079871</v>
      </c>
      <c r="F9" s="232">
        <f t="shared" si="2"/>
        <v>30.519450709359706</v>
      </c>
      <c r="G9" s="259">
        <f t="shared" si="2"/>
        <v>25.555877948143426</v>
      </c>
      <c r="I9" s="265">
        <f>ROUND(M9*$M$15,16)</f>
        <v>2.88473563334035E-2</v>
      </c>
      <c r="J9" s="120" t="s">
        <v>16</v>
      </c>
      <c r="K9" s="271"/>
      <c r="M9" s="238">
        <v>28.847356333403471</v>
      </c>
      <c r="N9" s="120" t="s">
        <v>16</v>
      </c>
      <c r="S9" s="22"/>
      <c r="T9" s="28"/>
      <c r="U9" s="22"/>
      <c r="V9" s="22"/>
      <c r="W9" s="18"/>
      <c r="X9" s="26"/>
      <c r="Y9" s="18"/>
      <c r="Z9" s="18"/>
      <c r="AA9" s="18"/>
      <c r="AB9" s="18"/>
    </row>
    <row r="10" spans="1:28" x14ac:dyDescent="0.25">
      <c r="A10" s="21" t="s">
        <v>88</v>
      </c>
      <c r="B10" s="229">
        <f t="shared" ref="B10:G10" si="3">Q144</f>
        <v>216.63830201079324</v>
      </c>
      <c r="C10" s="232">
        <f t="shared" si="3"/>
        <v>201.10181719356646</v>
      </c>
      <c r="D10" s="232">
        <f t="shared" si="3"/>
        <v>186.42923115075854</v>
      </c>
      <c r="E10" s="232">
        <f t="shared" si="3"/>
        <v>166.42281924432933</v>
      </c>
      <c r="F10" s="232">
        <f t="shared" si="3"/>
        <v>148.63193708352682</v>
      </c>
      <c r="G10" s="259">
        <f t="shared" si="3"/>
        <v>126.85678521263745</v>
      </c>
      <c r="I10" s="160" t="s">
        <v>117</v>
      </c>
      <c r="J10" s="20" t="s">
        <v>11</v>
      </c>
      <c r="K10" s="271"/>
      <c r="M10" s="218" t="s">
        <v>131</v>
      </c>
      <c r="N10" s="20" t="s">
        <v>11</v>
      </c>
      <c r="S10" s="22"/>
      <c r="T10" s="28"/>
      <c r="U10" s="22"/>
      <c r="V10" s="22"/>
      <c r="W10" s="18"/>
      <c r="X10" s="18"/>
      <c r="Y10" s="18"/>
      <c r="Z10" s="18"/>
      <c r="AA10" s="18"/>
      <c r="AB10" s="18"/>
    </row>
    <row r="11" spans="1:28" x14ac:dyDescent="0.25">
      <c r="A11" s="21" t="s">
        <v>86</v>
      </c>
      <c r="B11" s="230">
        <f t="shared" ref="B11:G11" si="4">Q169</f>
        <v>1014.7414372696909</v>
      </c>
      <c r="C11" s="232">
        <f t="shared" si="4"/>
        <v>930.89958133932078</v>
      </c>
      <c r="D11" s="232">
        <f t="shared" si="4"/>
        <v>847.057725408951</v>
      </c>
      <c r="E11" s="232">
        <f t="shared" si="4"/>
        <v>763.21586947858111</v>
      </c>
      <c r="F11" s="232">
        <f t="shared" si="4"/>
        <v>679.374013548211</v>
      </c>
      <c r="G11" s="259">
        <f t="shared" si="4"/>
        <v>595.53215761784122</v>
      </c>
      <c r="I11" s="266">
        <f>ROUND(M11*$M$15,18)</f>
        <v>1.44866574602956E-2</v>
      </c>
      <c r="J11" s="120" t="s">
        <v>94</v>
      </c>
      <c r="K11" s="271"/>
      <c r="M11" s="239">
        <v>14.486657460295646</v>
      </c>
      <c r="N11" s="120" t="s">
        <v>14</v>
      </c>
      <c r="Q11" s="35"/>
      <c r="S11" s="22"/>
      <c r="T11" s="28"/>
      <c r="U11" s="22"/>
      <c r="V11" s="22"/>
      <c r="W11" s="18"/>
      <c r="X11" s="18"/>
      <c r="Y11" s="18"/>
      <c r="Z11" s="18"/>
      <c r="AA11" s="18"/>
      <c r="AB11" s="18"/>
    </row>
    <row r="12" spans="1:28" x14ac:dyDescent="0.25">
      <c r="A12" s="171" t="s">
        <v>70</v>
      </c>
      <c r="B12" s="227">
        <f t="shared" ref="B12:G12" si="5">SUM(B6:B11)</f>
        <v>8380.8186332873756</v>
      </c>
      <c r="C12" s="262">
        <f t="shared" si="5"/>
        <v>7986.6723051674271</v>
      </c>
      <c r="D12" s="257">
        <f t="shared" si="5"/>
        <v>7622.8029950980881</v>
      </c>
      <c r="E12" s="257">
        <f t="shared" si="5"/>
        <v>7249.1864394439826</v>
      </c>
      <c r="F12" s="281">
        <f t="shared" si="5"/>
        <v>6794.7039338123404</v>
      </c>
      <c r="G12" s="282">
        <f t="shared" si="5"/>
        <v>6434.2296133607415</v>
      </c>
      <c r="I12" s="266">
        <f>ROUND(M12*$M$15,18)</f>
        <v>1.29525620205746E-3</v>
      </c>
      <c r="J12" s="120" t="s">
        <v>15</v>
      </c>
      <c r="K12" s="271"/>
      <c r="M12" s="239">
        <v>1.2952562020574572</v>
      </c>
      <c r="N12" s="120" t="s">
        <v>15</v>
      </c>
      <c r="P12" s="18"/>
      <c r="Q12" s="35"/>
      <c r="S12" s="22"/>
      <c r="T12" s="28"/>
      <c r="U12" s="22"/>
      <c r="V12" s="22"/>
      <c r="W12" s="18"/>
      <c r="X12" s="18"/>
      <c r="Y12" s="18"/>
      <c r="Z12" s="18"/>
      <c r="AA12" s="18"/>
      <c r="AB12" s="18"/>
    </row>
    <row r="13" spans="1:28" x14ac:dyDescent="0.25">
      <c r="A13" s="158" t="s">
        <v>71</v>
      </c>
      <c r="B13" s="279"/>
      <c r="C13" s="234">
        <f>C12*0.05</f>
        <v>399.33361525837137</v>
      </c>
      <c r="D13" s="235">
        <f>D12*0.05</f>
        <v>381.14014975490443</v>
      </c>
      <c r="E13" s="235">
        <f>E12*0.05</f>
        <v>362.45932197219918</v>
      </c>
      <c r="F13" s="283">
        <f>F12*0.05</f>
        <v>339.73519669061704</v>
      </c>
      <c r="G13" s="284">
        <f>G12*0.05</f>
        <v>321.7114806680371</v>
      </c>
      <c r="I13" s="268">
        <f>ROUND(M13*$M$15,18)</f>
        <v>2.6299400059656502E-4</v>
      </c>
      <c r="J13" s="120" t="s">
        <v>16</v>
      </c>
      <c r="K13" s="226"/>
      <c r="M13" s="239">
        <v>0.26299400059656458</v>
      </c>
      <c r="N13" s="120" t="s">
        <v>16</v>
      </c>
      <c r="Q13" s="35"/>
      <c r="S13" s="22"/>
      <c r="T13" s="28"/>
      <c r="U13" s="22"/>
      <c r="V13" s="22"/>
      <c r="W13" s="18"/>
      <c r="X13" s="18"/>
      <c r="Y13" s="18"/>
      <c r="Z13" s="18"/>
      <c r="AA13" s="18"/>
      <c r="AB13" s="18"/>
    </row>
    <row r="14" spans="1:28" ht="15.75" thickBot="1" x14ac:dyDescent="0.3">
      <c r="A14" s="172" t="s">
        <v>51</v>
      </c>
      <c r="B14" s="280"/>
      <c r="C14" s="263">
        <f t="shared" ref="C14:F14" si="6">C12+C13</f>
        <v>8386.0059204257977</v>
      </c>
      <c r="D14" s="264">
        <f t="shared" si="6"/>
        <v>8003.9431448529922</v>
      </c>
      <c r="E14" s="264">
        <f t="shared" si="6"/>
        <v>7611.6457614161818</v>
      </c>
      <c r="F14" s="285">
        <f t="shared" si="6"/>
        <v>7134.4391305029576</v>
      </c>
      <c r="G14" s="286">
        <f>G12+G13</f>
        <v>6755.9410940287789</v>
      </c>
      <c r="I14" s="267">
        <f>ROUND(M14*$M$15,18)</f>
        <v>4.8983152757174804E-3</v>
      </c>
      <c r="J14" s="120" t="s">
        <v>17</v>
      </c>
      <c r="K14" s="226"/>
      <c r="M14" s="240">
        <v>4.8983152757174828</v>
      </c>
      <c r="N14" s="120" t="s">
        <v>17</v>
      </c>
      <c r="Q14" s="35"/>
      <c r="R14" s="36"/>
      <c r="S14" s="22"/>
      <c r="T14" s="28"/>
      <c r="U14" s="22"/>
      <c r="V14" s="22"/>
      <c r="W14" s="18"/>
      <c r="X14" s="18"/>
      <c r="Y14" s="18"/>
      <c r="Z14" s="18"/>
      <c r="AA14" s="18"/>
      <c r="AB14" s="18"/>
    </row>
    <row r="15" spans="1:28" x14ac:dyDescent="0.25">
      <c r="B15" s="2"/>
      <c r="C15" s="2"/>
      <c r="D15" s="2"/>
      <c r="F15" s="287"/>
      <c r="G15" s="288" t="s">
        <v>126</v>
      </c>
      <c r="H15" s="2"/>
      <c r="M15" s="145">
        <v>1E-3</v>
      </c>
      <c r="N15" t="s">
        <v>53</v>
      </c>
      <c r="Q15" s="18"/>
      <c r="R15" s="18"/>
      <c r="S15" s="18"/>
      <c r="T15" s="18"/>
      <c r="U15" s="18"/>
      <c r="V15" s="18"/>
      <c r="W15" s="18"/>
      <c r="Y15" s="18"/>
      <c r="Z15" s="18"/>
      <c r="AA15" s="18"/>
      <c r="AB15" s="18"/>
    </row>
    <row r="16" spans="1:28" x14ac:dyDescent="0.25">
      <c r="B16" s="2"/>
      <c r="C16" s="2"/>
      <c r="D16" s="2"/>
      <c r="H16" s="2"/>
      <c r="I16" s="212" t="s">
        <v>128</v>
      </c>
      <c r="Q16" s="18"/>
      <c r="R16" s="18"/>
      <c r="S16" s="18"/>
      <c r="T16" s="18"/>
      <c r="U16" s="18"/>
      <c r="V16" s="18"/>
      <c r="W16" s="18"/>
      <c r="Y16" s="18"/>
      <c r="Z16" s="18"/>
      <c r="AA16" s="18"/>
      <c r="AB16" s="18"/>
    </row>
    <row r="17" spans="1:31" x14ac:dyDescent="0.25">
      <c r="B17" s="2"/>
      <c r="C17" s="2"/>
      <c r="D17" s="2"/>
      <c r="I17" s="120" t="s">
        <v>136</v>
      </c>
      <c r="Q17" s="18"/>
      <c r="R17" s="18"/>
      <c r="S17" s="18"/>
      <c r="T17" s="18"/>
      <c r="U17" s="18"/>
      <c r="V17" s="18"/>
      <c r="W17" s="18"/>
      <c r="Y17" s="18"/>
      <c r="Z17" s="18"/>
      <c r="AA17" s="18"/>
      <c r="AB17" s="18"/>
    </row>
    <row r="18" spans="1:31" x14ac:dyDescent="0.25">
      <c r="I18" s="213" t="s">
        <v>73</v>
      </c>
      <c r="Q18" s="18"/>
      <c r="R18" s="18"/>
      <c r="S18" s="18"/>
      <c r="T18" s="18"/>
      <c r="U18" s="18"/>
      <c r="V18" s="18"/>
      <c r="W18" s="18"/>
      <c r="Y18" s="18"/>
      <c r="Z18" s="18"/>
      <c r="AA18" s="18"/>
      <c r="AB18" s="18"/>
    </row>
    <row r="19" spans="1:31" x14ac:dyDescent="0.25">
      <c r="B19" s="2"/>
      <c r="C19" s="2"/>
      <c r="D19" s="2"/>
      <c r="Q19" s="6" t="s">
        <v>129</v>
      </c>
      <c r="R19" s="18"/>
      <c r="S19" s="18"/>
      <c r="T19" s="18"/>
      <c r="U19" s="18"/>
      <c r="V19" s="18"/>
      <c r="W19" s="18"/>
      <c r="X19" s="41"/>
      <c r="Y19" s="18"/>
      <c r="Z19" s="18"/>
      <c r="AA19" s="18"/>
      <c r="AB19" s="18"/>
    </row>
    <row r="20" spans="1:31" x14ac:dyDescent="0.25">
      <c r="A20" s="100" t="s">
        <v>59</v>
      </c>
      <c r="B20" s="300" t="s">
        <v>58</v>
      </c>
      <c r="C20" s="298"/>
      <c r="D20" s="298"/>
      <c r="E20" s="298"/>
      <c r="F20" s="298"/>
      <c r="G20" s="301"/>
      <c r="I20" s="300" t="s">
        <v>100</v>
      </c>
      <c r="J20" s="298"/>
      <c r="K20" s="298"/>
      <c r="L20" s="298"/>
      <c r="M20" s="298"/>
      <c r="N20" s="298"/>
      <c r="O20" s="301"/>
      <c r="Q20" s="302" t="s">
        <v>137</v>
      </c>
      <c r="R20" s="303"/>
      <c r="S20" s="303"/>
      <c r="T20" s="303"/>
      <c r="U20" s="303"/>
      <c r="V20" s="304"/>
      <c r="W20" s="18"/>
      <c r="X20" s="302" t="s">
        <v>138</v>
      </c>
      <c r="Y20" s="303"/>
      <c r="Z20" s="303"/>
      <c r="AA20" s="303"/>
      <c r="AB20" s="303"/>
      <c r="AC20" s="303"/>
      <c r="AD20" s="303"/>
      <c r="AE20" s="304"/>
    </row>
    <row r="21" spans="1:31" x14ac:dyDescent="0.25">
      <c r="A21" s="9" t="s">
        <v>31</v>
      </c>
      <c r="B21" s="97" t="s">
        <v>56</v>
      </c>
      <c r="C21" s="294" t="s">
        <v>72</v>
      </c>
      <c r="D21" s="295"/>
      <c r="E21" s="295"/>
      <c r="F21" s="295"/>
      <c r="G21" s="296"/>
      <c r="I21" s="187" t="s">
        <v>112</v>
      </c>
      <c r="J21" s="16"/>
      <c r="K21" s="16"/>
      <c r="L21" s="16"/>
      <c r="M21" s="16"/>
      <c r="N21" s="10"/>
      <c r="O21" s="23"/>
      <c r="Q21" s="294" t="s">
        <v>52</v>
      </c>
      <c r="R21" s="295"/>
      <c r="S21" s="295"/>
      <c r="T21" s="295"/>
      <c r="U21" s="295"/>
      <c r="V21" s="296"/>
      <c r="X21" s="9" t="s">
        <v>34</v>
      </c>
      <c r="Y21" s="103" t="s">
        <v>35</v>
      </c>
      <c r="Z21" s="40" t="s">
        <v>35</v>
      </c>
      <c r="AA21" s="40" t="s">
        <v>35</v>
      </c>
      <c r="AB21" s="40" t="s">
        <v>35</v>
      </c>
      <c r="AC21" s="40" t="s">
        <v>35</v>
      </c>
      <c r="AD21" s="40" t="s">
        <v>35</v>
      </c>
      <c r="AE21" s="104" t="s">
        <v>35</v>
      </c>
    </row>
    <row r="22" spans="1:31" x14ac:dyDescent="0.25">
      <c r="A22" s="11" t="s">
        <v>19</v>
      </c>
      <c r="B22" s="93">
        <v>2024</v>
      </c>
      <c r="C22" s="91">
        <v>2025</v>
      </c>
      <c r="D22" s="91">
        <v>2026</v>
      </c>
      <c r="E22" s="91">
        <v>2027</v>
      </c>
      <c r="F22" s="91">
        <v>2028</v>
      </c>
      <c r="G22" s="25">
        <v>2029</v>
      </c>
      <c r="I22" s="50">
        <v>2025</v>
      </c>
      <c r="J22" s="91">
        <v>2026</v>
      </c>
      <c r="K22" s="91">
        <v>2027</v>
      </c>
      <c r="L22" s="91">
        <v>2028</v>
      </c>
      <c r="M22" s="91">
        <v>2029</v>
      </c>
      <c r="O22" s="12"/>
      <c r="Q22" s="90">
        <v>2024</v>
      </c>
      <c r="R22" s="67">
        <v>2025</v>
      </c>
      <c r="S22" s="68">
        <v>2026</v>
      </c>
      <c r="T22" s="68">
        <v>2027</v>
      </c>
      <c r="U22" s="68">
        <v>2028</v>
      </c>
      <c r="V22" s="69">
        <v>2029</v>
      </c>
      <c r="X22" s="11" t="s">
        <v>19</v>
      </c>
      <c r="Y22" s="105">
        <v>2018</v>
      </c>
      <c r="Z22" s="106">
        <v>2019</v>
      </c>
      <c r="AA22" s="106">
        <v>2020</v>
      </c>
      <c r="AB22" s="106">
        <v>2021</v>
      </c>
      <c r="AC22" s="106">
        <v>2022</v>
      </c>
      <c r="AD22" s="106">
        <v>2023</v>
      </c>
      <c r="AE22" s="107">
        <v>2024</v>
      </c>
    </row>
    <row r="23" spans="1:31" x14ac:dyDescent="0.25">
      <c r="A23" s="13" t="s">
        <v>2</v>
      </c>
      <c r="B23" s="94">
        <v>542.90852642538039</v>
      </c>
      <c r="C23" s="34">
        <f t="shared" ref="C23:G24" si="7">B23-(I$24*B23/(B$23+B$24))</f>
        <v>524.95275410269858</v>
      </c>
      <c r="D23" s="34">
        <f t="shared" si="7"/>
        <v>511.89401059529359</v>
      </c>
      <c r="E23" s="34">
        <f t="shared" si="7"/>
        <v>498.83526708788861</v>
      </c>
      <c r="F23" s="34">
        <f t="shared" si="7"/>
        <v>485.77652358048363</v>
      </c>
      <c r="G23" s="61">
        <f t="shared" si="7"/>
        <v>472.71778007307864</v>
      </c>
      <c r="I23" s="112">
        <v>97</v>
      </c>
      <c r="J23" s="188">
        <v>85</v>
      </c>
      <c r="K23" s="188">
        <v>85</v>
      </c>
      <c r="L23" s="188">
        <v>84</v>
      </c>
      <c r="M23" s="6">
        <v>84</v>
      </c>
      <c r="N23" s="6" t="s">
        <v>54</v>
      </c>
      <c r="O23" s="77"/>
      <c r="Q23" s="228">
        <f>B23*'Stakeholder Memo Table 5'!$I$7</f>
        <v>467.62048318095884</v>
      </c>
      <c r="R23" s="231">
        <f>C23*$I$7</f>
        <v>452.15473431032694</v>
      </c>
      <c r="S23" s="232">
        <f t="shared" ref="S23:V24" si="8">D23*$I$7</f>
        <v>440.90691694986737</v>
      </c>
      <c r="T23" s="232">
        <f t="shared" si="8"/>
        <v>429.65909958940779</v>
      </c>
      <c r="U23" s="232">
        <f t="shared" si="8"/>
        <v>418.41128222894815</v>
      </c>
      <c r="V23" s="233">
        <f t="shared" si="8"/>
        <v>407.16346486848857</v>
      </c>
      <c r="X23" s="13" t="s">
        <v>2</v>
      </c>
      <c r="Y23" s="42">
        <v>686.41899999999998</v>
      </c>
      <c r="Z23" s="42">
        <v>654.101</v>
      </c>
      <c r="AA23" s="42">
        <v>615.79700000000003</v>
      </c>
      <c r="AB23" s="42">
        <v>577.32298863636356</v>
      </c>
      <c r="AC23" s="42">
        <v>612.47536623076587</v>
      </c>
      <c r="AD23" s="42">
        <v>579.9366384977302</v>
      </c>
      <c r="AE23" s="56">
        <v>542.90852642538039</v>
      </c>
    </row>
    <row r="24" spans="1:31" x14ac:dyDescent="0.25">
      <c r="A24" s="13" t="s">
        <v>3</v>
      </c>
      <c r="B24" s="94">
        <v>454.87542015573962</v>
      </c>
      <c r="C24" s="34">
        <f t="shared" si="7"/>
        <v>439.83119247842149</v>
      </c>
      <c r="D24" s="34">
        <f t="shared" si="7"/>
        <v>428.88993598582647</v>
      </c>
      <c r="E24" s="34">
        <f t="shared" si="7"/>
        <v>417.94867949323145</v>
      </c>
      <c r="F24" s="34">
        <f t="shared" si="7"/>
        <v>407.00742300063644</v>
      </c>
      <c r="G24" s="61">
        <f t="shared" si="7"/>
        <v>396.06616650804142</v>
      </c>
      <c r="H24" s="27"/>
      <c r="I24" s="189">
        <v>33</v>
      </c>
      <c r="J24" s="188">
        <v>24</v>
      </c>
      <c r="K24" s="188">
        <v>24</v>
      </c>
      <c r="L24" s="188">
        <v>24</v>
      </c>
      <c r="M24" s="6">
        <v>24</v>
      </c>
      <c r="N24" s="6" t="s">
        <v>26</v>
      </c>
      <c r="O24" s="77"/>
      <c r="Q24" s="228">
        <f>B24*$I$7</f>
        <v>391.79540089541075</v>
      </c>
      <c r="R24" s="231">
        <f>C24*$I$7</f>
        <v>378.83743712594918</v>
      </c>
      <c r="S24" s="232">
        <f t="shared" si="8"/>
        <v>369.41346347543168</v>
      </c>
      <c r="T24" s="232">
        <f t="shared" si="8"/>
        <v>359.98948982491413</v>
      </c>
      <c r="U24" s="232">
        <f t="shared" si="8"/>
        <v>350.56551617439658</v>
      </c>
      <c r="V24" s="233">
        <f t="shared" si="8"/>
        <v>341.14154252387908</v>
      </c>
      <c r="X24" s="13" t="s">
        <v>3</v>
      </c>
      <c r="Y24" s="42">
        <v>499.95400000000001</v>
      </c>
      <c r="Z24" s="42">
        <v>485.75900000000001</v>
      </c>
      <c r="AA24" s="42">
        <v>473.64</v>
      </c>
      <c r="AB24" s="42">
        <v>446.42896590909078</v>
      </c>
      <c r="AC24" s="42">
        <v>445.5076506256388</v>
      </c>
      <c r="AD24" s="42">
        <v>435.49536072064245</v>
      </c>
      <c r="AE24" s="56">
        <v>454.87542015573962</v>
      </c>
    </row>
    <row r="25" spans="1:31" x14ac:dyDescent="0.25">
      <c r="A25" s="13" t="s">
        <v>4</v>
      </c>
      <c r="B25" s="94">
        <v>0</v>
      </c>
      <c r="C25" s="34">
        <f t="shared" ref="C25:G26" si="9">B25</f>
        <v>0</v>
      </c>
      <c r="D25" s="34">
        <f t="shared" si="9"/>
        <v>0</v>
      </c>
      <c r="E25" s="34">
        <f t="shared" si="9"/>
        <v>0</v>
      </c>
      <c r="F25" s="34">
        <f t="shared" si="9"/>
        <v>0</v>
      </c>
      <c r="G25" s="61">
        <f t="shared" si="9"/>
        <v>0</v>
      </c>
      <c r="H25" s="27"/>
      <c r="I25" s="190">
        <f>$N$37</f>
        <v>4058</v>
      </c>
      <c r="J25" s="188">
        <f>$N$37</f>
        <v>4058</v>
      </c>
      <c r="K25" s="188">
        <f>$N$37</f>
        <v>4058</v>
      </c>
      <c r="L25" s="188">
        <f>$N$37</f>
        <v>4058</v>
      </c>
      <c r="M25" s="188">
        <f>$N$37</f>
        <v>4058</v>
      </c>
      <c r="N25" s="6" t="s">
        <v>69</v>
      </c>
      <c r="O25" s="77"/>
      <c r="Q25" s="228">
        <f>B25*$I$8</f>
        <v>0</v>
      </c>
      <c r="R25" s="231">
        <f>C25*$I$8</f>
        <v>0</v>
      </c>
      <c r="S25" s="232">
        <f t="shared" ref="S25:V26" si="10">D25*$I$8</f>
        <v>0</v>
      </c>
      <c r="T25" s="232">
        <f t="shared" si="10"/>
        <v>0</v>
      </c>
      <c r="U25" s="232">
        <f t="shared" si="10"/>
        <v>0</v>
      </c>
      <c r="V25" s="233">
        <f t="shared" si="10"/>
        <v>0</v>
      </c>
      <c r="X25" s="39" t="s">
        <v>4</v>
      </c>
      <c r="Y25" s="42">
        <v>141.89099999999999</v>
      </c>
      <c r="Z25" s="42">
        <v>140.13300000000001</v>
      </c>
      <c r="AA25" s="42">
        <v>138.774</v>
      </c>
      <c r="AB25" s="42">
        <v>133.48420984848485</v>
      </c>
      <c r="AC25" s="42">
        <v>0</v>
      </c>
      <c r="AD25" s="42">
        <v>0</v>
      </c>
      <c r="AE25" s="56">
        <v>0</v>
      </c>
    </row>
    <row r="26" spans="1:31" x14ac:dyDescent="0.25">
      <c r="A26" s="13" t="s">
        <v>5</v>
      </c>
      <c r="B26" s="94">
        <v>2378.1249157364437</v>
      </c>
      <c r="C26" s="34">
        <f>B26</f>
        <v>2378.1249157364437</v>
      </c>
      <c r="D26" s="34">
        <f t="shared" si="9"/>
        <v>2378.1249157364437</v>
      </c>
      <c r="E26" s="34">
        <f t="shared" si="9"/>
        <v>2378.1249157364437</v>
      </c>
      <c r="F26" s="34">
        <f t="shared" si="9"/>
        <v>2378.1249157364437</v>
      </c>
      <c r="G26" s="61">
        <f t="shared" si="9"/>
        <v>2378.1249157364437</v>
      </c>
      <c r="H26" s="27"/>
      <c r="I26" s="13"/>
      <c r="J26" s="18"/>
      <c r="K26" s="18"/>
      <c r="L26" s="18"/>
      <c r="M26" s="18"/>
      <c r="O26" s="77"/>
      <c r="P26" s="18"/>
      <c r="Q26" s="228">
        <f>B26*$I$8</f>
        <v>230.08101397836415</v>
      </c>
      <c r="R26" s="231">
        <f>C26*$I$8</f>
        <v>230.08101397836415</v>
      </c>
      <c r="S26" s="232">
        <f t="shared" si="10"/>
        <v>230.08101397836415</v>
      </c>
      <c r="T26" s="232">
        <f t="shared" si="10"/>
        <v>230.08101397836415</v>
      </c>
      <c r="U26" s="232">
        <f t="shared" si="10"/>
        <v>230.08101397836415</v>
      </c>
      <c r="V26" s="233">
        <f t="shared" si="10"/>
        <v>230.08101397836415</v>
      </c>
      <c r="X26" s="13" t="s">
        <v>5</v>
      </c>
      <c r="Y26" s="42">
        <v>2376.4549999999999</v>
      </c>
      <c r="Z26" s="42">
        <v>2370.0230000000001</v>
      </c>
      <c r="AA26" s="42">
        <v>2363.7809999999999</v>
      </c>
      <c r="AB26" s="42">
        <v>2355.4885954545475</v>
      </c>
      <c r="AC26" s="42">
        <v>2415.0423063562889</v>
      </c>
      <c r="AD26" s="42">
        <v>2415.0370478597392</v>
      </c>
      <c r="AE26" s="56">
        <v>2378.1249157364437</v>
      </c>
    </row>
    <row r="27" spans="1:31" x14ac:dyDescent="0.25">
      <c r="A27" s="13" t="s">
        <v>6</v>
      </c>
      <c r="B27" s="94">
        <v>6426.8297807367089</v>
      </c>
      <c r="C27" s="34">
        <f>B27+I23+I24+I41</f>
        <v>6556.8297807367089</v>
      </c>
      <c r="D27" s="34">
        <f>C27+J23+J24+J41</f>
        <v>6665.8297807367089</v>
      </c>
      <c r="E27" s="34">
        <f>D27+K23+K24+K41</f>
        <v>6774.8297807367089</v>
      </c>
      <c r="F27" s="34">
        <f>E27+L23+L24+L41</f>
        <v>6882.8297807367089</v>
      </c>
      <c r="G27" s="61">
        <f>F27+M23+M24+M41</f>
        <v>6990.8297807367089</v>
      </c>
      <c r="H27" s="27"/>
      <c r="I27" s="13" t="s">
        <v>74</v>
      </c>
      <c r="O27" s="77"/>
      <c r="P27" s="18"/>
      <c r="Q27" s="228">
        <f>B27*$I$9</f>
        <v>185.39704877904134</v>
      </c>
      <c r="R27" s="231">
        <f>C27*$I$9</f>
        <v>189.14720510238379</v>
      </c>
      <c r="S27" s="232">
        <f t="shared" ref="S27:V27" si="11">D27*$I$9</f>
        <v>192.29156694272476</v>
      </c>
      <c r="T27" s="232">
        <f t="shared" si="11"/>
        <v>195.43592878306575</v>
      </c>
      <c r="U27" s="232">
        <f t="shared" si="11"/>
        <v>198.55144326707332</v>
      </c>
      <c r="V27" s="233">
        <f t="shared" si="11"/>
        <v>201.6669577510809</v>
      </c>
      <c r="X27" s="39" t="s">
        <v>36</v>
      </c>
      <c r="Y27" s="42">
        <v>5529.7470000000003</v>
      </c>
      <c r="Z27" s="42">
        <v>5675.0349999999999</v>
      </c>
      <c r="AA27" s="42">
        <v>5797.6930000000002</v>
      </c>
      <c r="AB27" s="42">
        <f>5958.345+5.217</f>
        <v>5963.5619999999999</v>
      </c>
      <c r="AC27" s="42">
        <v>6131.5528050980975</v>
      </c>
      <c r="AD27" s="42">
        <v>6278.1894425243599</v>
      </c>
      <c r="AE27" s="56">
        <v>6426.8297807367089</v>
      </c>
    </row>
    <row r="28" spans="1:31" ht="14.45" customHeight="1" x14ac:dyDescent="0.25">
      <c r="A28" s="13" t="s">
        <v>7</v>
      </c>
      <c r="B28" s="94">
        <v>1426.5265452457179</v>
      </c>
      <c r="C28" s="34">
        <f>B28-I23</f>
        <v>1329.5265452457179</v>
      </c>
      <c r="D28" s="34">
        <f>C28-J23</f>
        <v>1244.5265452457179</v>
      </c>
      <c r="E28" s="34">
        <f>D28-K23</f>
        <v>1159.5265452457179</v>
      </c>
      <c r="F28" s="34">
        <f>E28-L23</f>
        <v>1075.5265452457179</v>
      </c>
      <c r="G28" s="61">
        <f>F28-M23</f>
        <v>991.5265452457179</v>
      </c>
      <c r="H28" s="27"/>
      <c r="I28" s="311" t="s">
        <v>82</v>
      </c>
      <c r="J28" s="312"/>
      <c r="K28" s="312"/>
      <c r="L28" s="312"/>
      <c r="M28" s="312"/>
      <c r="N28" s="312"/>
      <c r="O28" s="313"/>
      <c r="P28" s="18"/>
      <c r="Q28" s="228">
        <f t="shared" ref="Q28:R30" si="12">B28*$I$6</f>
        <v>1650.873762873855</v>
      </c>
      <c r="R28" s="231">
        <f t="shared" si="12"/>
        <v>1538.6187504925881</v>
      </c>
      <c r="S28" s="232">
        <f t="shared" ref="S28:V30" si="13">D28*$I$6</f>
        <v>1440.2509561378697</v>
      </c>
      <c r="T28" s="232">
        <f t="shared" si="13"/>
        <v>1341.8831617831513</v>
      </c>
      <c r="U28" s="232">
        <f t="shared" si="13"/>
        <v>1244.6726355973119</v>
      </c>
      <c r="V28" s="233">
        <f t="shared" si="13"/>
        <v>1147.4621094114725</v>
      </c>
      <c r="X28" s="13" t="s">
        <v>7</v>
      </c>
      <c r="Y28" s="42">
        <v>1895.816</v>
      </c>
      <c r="Z28" s="42">
        <v>1828.5229999999999</v>
      </c>
      <c r="AA28" s="42">
        <v>1777.942</v>
      </c>
      <c r="AB28" s="42">
        <v>1683.1969999999985</v>
      </c>
      <c r="AC28" s="42">
        <v>1588.3870819055694</v>
      </c>
      <c r="AD28" s="42">
        <v>1513.1064770362614</v>
      </c>
      <c r="AE28" s="56">
        <v>1426.5265452457179</v>
      </c>
    </row>
    <row r="29" spans="1:31" x14ac:dyDescent="0.25">
      <c r="A29" s="13" t="s">
        <v>8</v>
      </c>
      <c r="B29" s="94">
        <v>0</v>
      </c>
      <c r="C29" s="34">
        <v>0</v>
      </c>
      <c r="D29" s="34">
        <v>0</v>
      </c>
      <c r="E29" s="34">
        <v>0</v>
      </c>
      <c r="F29" s="34">
        <v>0</v>
      </c>
      <c r="G29" s="61">
        <v>0</v>
      </c>
      <c r="H29" s="18"/>
      <c r="I29" s="314"/>
      <c r="J29" s="315"/>
      <c r="K29" s="315"/>
      <c r="L29" s="315"/>
      <c r="M29" s="315"/>
      <c r="N29" s="315"/>
      <c r="O29" s="316"/>
      <c r="P29" s="18"/>
      <c r="Q29" s="228">
        <f t="shared" si="12"/>
        <v>0</v>
      </c>
      <c r="R29" s="231">
        <f t="shared" si="12"/>
        <v>0</v>
      </c>
      <c r="S29" s="232">
        <f t="shared" si="13"/>
        <v>0</v>
      </c>
      <c r="T29" s="232">
        <f t="shared" si="13"/>
        <v>0</v>
      </c>
      <c r="U29" s="232">
        <f t="shared" si="13"/>
        <v>0</v>
      </c>
      <c r="V29" s="233">
        <f t="shared" si="13"/>
        <v>0</v>
      </c>
      <c r="X29" s="13" t="s">
        <v>8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56">
        <v>0</v>
      </c>
    </row>
    <row r="30" spans="1:31" x14ac:dyDescent="0.25">
      <c r="A30" s="13" t="s">
        <v>9</v>
      </c>
      <c r="B30" s="94">
        <v>1.6856060606060607E-2</v>
      </c>
      <c r="C30" s="34">
        <f t="shared" ref="C30:G31" si="14">B30</f>
        <v>1.6856060606060607E-2</v>
      </c>
      <c r="D30" s="34">
        <f t="shared" si="14"/>
        <v>1.6856060606060607E-2</v>
      </c>
      <c r="E30" s="34">
        <f t="shared" si="14"/>
        <v>1.6856060606060607E-2</v>
      </c>
      <c r="F30" s="34">
        <f>E30</f>
        <v>1.6856060606060607E-2</v>
      </c>
      <c r="G30" s="61">
        <f>F30</f>
        <v>1.6856060606060607E-2</v>
      </c>
      <c r="I30" s="317"/>
      <c r="J30" s="318"/>
      <c r="K30" s="318"/>
      <c r="L30" s="318"/>
      <c r="M30" s="318"/>
      <c r="N30" s="318"/>
      <c r="O30" s="319"/>
      <c r="P30" s="18"/>
      <c r="Q30" s="228">
        <f t="shared" si="12"/>
        <v>1.950698239208988E-2</v>
      </c>
      <c r="R30" s="231">
        <f t="shared" si="12"/>
        <v>1.950698239208988E-2</v>
      </c>
      <c r="S30" s="232">
        <f t="shared" si="13"/>
        <v>1.950698239208988E-2</v>
      </c>
      <c r="T30" s="232">
        <f t="shared" si="13"/>
        <v>1.950698239208988E-2</v>
      </c>
      <c r="U30" s="232">
        <f t="shared" si="13"/>
        <v>1.950698239208988E-2</v>
      </c>
      <c r="V30" s="233">
        <f t="shared" si="13"/>
        <v>1.950698239208988E-2</v>
      </c>
      <c r="X30" s="13" t="s">
        <v>9</v>
      </c>
      <c r="Y30" s="42">
        <v>2.8000000000000001E-2</v>
      </c>
      <c r="Z30" s="42">
        <v>1.7000000000000001E-2</v>
      </c>
      <c r="AA30" s="42">
        <v>1.7000000000000001E-2</v>
      </c>
      <c r="AB30" s="42">
        <v>1.7000000000000001E-2</v>
      </c>
      <c r="AC30" s="42">
        <v>1.6856060606060607E-2</v>
      </c>
      <c r="AD30" s="42">
        <v>1.6856060606060607E-2</v>
      </c>
      <c r="AE30" s="56">
        <v>1.6856060606060607E-2</v>
      </c>
    </row>
    <row r="31" spans="1:31" x14ac:dyDescent="0.25">
      <c r="A31" s="13" t="s">
        <v>10</v>
      </c>
      <c r="B31" s="94">
        <v>0.3563409090909091</v>
      </c>
      <c r="C31" s="34">
        <f t="shared" si="14"/>
        <v>0.3563409090909091</v>
      </c>
      <c r="D31" s="34">
        <f t="shared" si="14"/>
        <v>0.3563409090909091</v>
      </c>
      <c r="E31" s="34">
        <f>D31</f>
        <v>0.3563409090909091</v>
      </c>
      <c r="F31" s="34">
        <f t="shared" si="14"/>
        <v>0.3563409090909091</v>
      </c>
      <c r="G31" s="61">
        <f t="shared" si="14"/>
        <v>0.3563409090909091</v>
      </c>
      <c r="H31" s="4"/>
      <c r="I31" s="11" t="s">
        <v>61</v>
      </c>
      <c r="J31" s="183">
        <v>2021</v>
      </c>
      <c r="K31" s="183">
        <v>2022</v>
      </c>
      <c r="L31" s="183">
        <v>2023</v>
      </c>
      <c r="M31" s="183">
        <v>2024</v>
      </c>
      <c r="N31" s="199" t="s">
        <v>79</v>
      </c>
      <c r="O31" s="12"/>
      <c r="P31" s="18"/>
      <c r="Q31" s="228">
        <f>B31*$I$7</f>
        <v>0.30692520005786955</v>
      </c>
      <c r="R31" s="231">
        <f>C31*$I$7</f>
        <v>0.30692520005786955</v>
      </c>
      <c r="S31" s="232">
        <f t="shared" ref="S31:V31" si="15">D31*$I$7</f>
        <v>0.30692520005786955</v>
      </c>
      <c r="T31" s="232">
        <f t="shared" si="15"/>
        <v>0.30692520005786955</v>
      </c>
      <c r="U31" s="232">
        <f t="shared" si="15"/>
        <v>0.30692520005786955</v>
      </c>
      <c r="V31" s="233">
        <f t="shared" si="15"/>
        <v>0.30692520005786955</v>
      </c>
      <c r="X31" s="13" t="s">
        <v>10</v>
      </c>
      <c r="Y31" s="42">
        <v>1E-3</v>
      </c>
      <c r="Z31" s="42">
        <v>1E-3</v>
      </c>
      <c r="AA31" s="42">
        <v>1E-3</v>
      </c>
      <c r="AB31" s="42">
        <v>0</v>
      </c>
      <c r="AC31" s="42">
        <v>0</v>
      </c>
      <c r="AD31" s="42">
        <v>0</v>
      </c>
      <c r="AE31" s="56">
        <v>0.3563409090909091</v>
      </c>
    </row>
    <row r="32" spans="1:31" x14ac:dyDescent="0.25">
      <c r="A32" s="13" t="s">
        <v>21</v>
      </c>
      <c r="B32" s="94">
        <f t="shared" ref="B32:E32" si="16">SUM(B23:B31)</f>
        <v>11229.638385269685</v>
      </c>
      <c r="D32" s="34">
        <f t="shared" si="16"/>
        <v>11229.638385269685</v>
      </c>
      <c r="E32" s="34">
        <f t="shared" si="16"/>
        <v>11229.638385269685</v>
      </c>
      <c r="F32" s="34">
        <f>SUM(F23:F31)</f>
        <v>11229.638385269685</v>
      </c>
      <c r="G32" s="61">
        <f>SUM(G23:G31)</f>
        <v>11229.638385269685</v>
      </c>
      <c r="I32" s="121" t="s">
        <v>62</v>
      </c>
      <c r="J32" s="116">
        <f t="shared" ref="J32:M33" si="17">AA34-AB34</f>
        <v>3266</v>
      </c>
      <c r="K32" s="117">
        <f t="shared" si="17"/>
        <v>2467</v>
      </c>
      <c r="L32" s="117">
        <f t="shared" si="17"/>
        <v>3228</v>
      </c>
      <c r="M32" s="118">
        <f t="shared" si="17"/>
        <v>3414</v>
      </c>
      <c r="N32" s="191"/>
      <c r="O32" s="12"/>
      <c r="P32" s="18"/>
      <c r="Q32" s="228">
        <f t="shared" ref="Q32" si="18">SUM(Q23:Q31)</f>
        <v>2926.0941418900802</v>
      </c>
      <c r="R32" s="231">
        <f t="shared" ref="R32:S32" si="19">SUM(R23:R31)</f>
        <v>2789.1655731920619</v>
      </c>
      <c r="S32" s="232">
        <f t="shared" si="19"/>
        <v>2673.2703496667077</v>
      </c>
      <c r="T32" s="232">
        <f t="shared" ref="T32:V32" si="20">SUM(T23:T31)</f>
        <v>2557.3751261413531</v>
      </c>
      <c r="U32" s="232">
        <f t="shared" si="20"/>
        <v>2442.6083234285443</v>
      </c>
      <c r="V32" s="233">
        <f t="shared" si="20"/>
        <v>2327.841520715735</v>
      </c>
      <c r="X32" s="13" t="s">
        <v>21</v>
      </c>
      <c r="Y32" s="101">
        <f>SUM(Y23:Y31)</f>
        <v>11130.311000000002</v>
      </c>
      <c r="Z32" s="101">
        <f>SUM(Z23:Z31)</f>
        <v>11153.591999999999</v>
      </c>
      <c r="AA32" s="101">
        <f>SUM(AA23:AA31)</f>
        <v>11167.645</v>
      </c>
      <c r="AB32" s="101">
        <f>SUM(AB23:AB31)</f>
        <v>11159.500759848484</v>
      </c>
      <c r="AC32" s="101">
        <f t="shared" ref="AC32:AD32" si="21">SUM(AC23:AC31)</f>
        <v>11192.982066276965</v>
      </c>
      <c r="AD32" s="101">
        <f t="shared" si="21"/>
        <v>11221.781822699339</v>
      </c>
      <c r="AE32" s="101">
        <f t="shared" ref="AE32" si="22">SUM(AE23:AE31)</f>
        <v>11229.638385269685</v>
      </c>
    </row>
    <row r="33" spans="1:32" ht="14.45" customHeight="1" x14ac:dyDescent="0.25">
      <c r="A33" s="11" t="s">
        <v>20</v>
      </c>
      <c r="B33" s="95"/>
      <c r="C33" s="34">
        <f>SUM(C23:C31)</f>
        <v>11229.638385269685</v>
      </c>
      <c r="D33" s="92"/>
      <c r="E33" s="92"/>
      <c r="F33" s="92"/>
      <c r="G33" s="63"/>
      <c r="I33" s="122" t="s">
        <v>63</v>
      </c>
      <c r="J33" s="112">
        <f t="shared" si="17"/>
        <v>915.75</v>
      </c>
      <c r="K33" s="184">
        <f t="shared" si="17"/>
        <v>553.25</v>
      </c>
      <c r="L33" s="184">
        <f t="shared" si="17"/>
        <v>664</v>
      </c>
      <c r="M33" s="113">
        <f t="shared" si="17"/>
        <v>776</v>
      </c>
      <c r="N33" s="179"/>
      <c r="O33" s="12"/>
      <c r="P33" s="18"/>
      <c r="Q33" s="228"/>
      <c r="R33" s="231"/>
      <c r="S33" s="232"/>
      <c r="T33" s="232"/>
      <c r="U33" s="232"/>
      <c r="V33" s="233"/>
      <c r="X33" s="11" t="s">
        <v>20</v>
      </c>
      <c r="Y33" s="62"/>
      <c r="Z33" s="92"/>
      <c r="AA33" s="92"/>
      <c r="AB33" s="92"/>
      <c r="AC33" s="92"/>
      <c r="AD33" s="92"/>
      <c r="AE33" s="63"/>
    </row>
    <row r="34" spans="1:32" x14ac:dyDescent="0.25">
      <c r="A34" s="13" t="s">
        <v>2</v>
      </c>
      <c r="B34" s="86">
        <v>66762</v>
      </c>
      <c r="C34" s="52">
        <f>B34-I$25*B34/(B$34+B$35+B$39+B41)</f>
        <v>63953.809318476291</v>
      </c>
      <c r="D34" s="52">
        <f t="shared" ref="D34:G34" si="23">C34-J$25*C34/(C$34+C$35+C$39+C41)</f>
        <v>61145.618636952582</v>
      </c>
      <c r="E34" s="52">
        <f t="shared" si="23"/>
        <v>58337.427955428873</v>
      </c>
      <c r="F34" s="52">
        <f t="shared" si="23"/>
        <v>55529.237273905164</v>
      </c>
      <c r="G34" s="47">
        <f t="shared" si="23"/>
        <v>52721.046592381455</v>
      </c>
      <c r="I34" s="122" t="s">
        <v>7</v>
      </c>
      <c r="J34" s="112">
        <f t="shared" ref="J34:M36" si="24">AA39-AB39</f>
        <v>48</v>
      </c>
      <c r="K34" s="184">
        <f t="shared" si="24"/>
        <v>18</v>
      </c>
      <c r="L34" s="184">
        <f t="shared" si="24"/>
        <v>44</v>
      </c>
      <c r="M34" s="113">
        <f t="shared" si="24"/>
        <v>65</v>
      </c>
      <c r="N34" s="179"/>
      <c r="O34" s="12"/>
      <c r="P34" s="18"/>
      <c r="Q34" s="228">
        <f>B34*$I$11</f>
        <v>967.15822536425492</v>
      </c>
      <c r="R34" s="231">
        <f>C34*$I$11</f>
        <v>926.47692887782682</v>
      </c>
      <c r="S34" s="232">
        <f t="shared" ref="S34:V35" si="25">D34*$I$11</f>
        <v>885.79563239139884</v>
      </c>
      <c r="T34" s="232">
        <f t="shared" si="25"/>
        <v>845.11433590497074</v>
      </c>
      <c r="U34" s="232">
        <f t="shared" si="25"/>
        <v>804.43303941854276</v>
      </c>
      <c r="V34" s="233">
        <f t="shared" si="25"/>
        <v>763.75174293211478</v>
      </c>
      <c r="X34" s="13" t="s">
        <v>2</v>
      </c>
      <c r="Y34" s="57">
        <v>83687</v>
      </c>
      <c r="Z34" s="57">
        <v>80420</v>
      </c>
      <c r="AA34" s="57">
        <v>79137</v>
      </c>
      <c r="AB34" s="73">
        <v>75871</v>
      </c>
      <c r="AC34" s="73">
        <v>73404</v>
      </c>
      <c r="AD34" s="57">
        <v>70176</v>
      </c>
      <c r="AE34" s="57">
        <v>66762</v>
      </c>
    </row>
    <row r="35" spans="1:32" x14ac:dyDescent="0.25">
      <c r="A35" s="13" t="s">
        <v>3</v>
      </c>
      <c r="B35" s="86">
        <v>21273</v>
      </c>
      <c r="C35" s="52">
        <f>B35-I$25*B35/(B$34+B$35+B$39+B$41)</f>
        <v>20378.19995853848</v>
      </c>
      <c r="D35" s="52">
        <f t="shared" ref="D35:G35" si="26">C35-J$25*C35/(C$34+C$35+C$39+C$41)</f>
        <v>19483.39991707696</v>
      </c>
      <c r="E35" s="52">
        <f t="shared" si="26"/>
        <v>18588.59987561544</v>
      </c>
      <c r="F35" s="52">
        <f t="shared" si="26"/>
        <v>17693.799834153921</v>
      </c>
      <c r="G35" s="47">
        <f t="shared" si="26"/>
        <v>16798.999792692401</v>
      </c>
      <c r="I35" s="122" t="s">
        <v>8</v>
      </c>
      <c r="J35" s="112">
        <f t="shared" si="24"/>
        <v>0</v>
      </c>
      <c r="K35" s="184">
        <f t="shared" si="24"/>
        <v>0</v>
      </c>
      <c r="L35" s="184">
        <f t="shared" si="24"/>
        <v>0</v>
      </c>
      <c r="M35" s="113">
        <f t="shared" si="24"/>
        <v>0</v>
      </c>
      <c r="N35" s="179"/>
      <c r="O35" s="12"/>
      <c r="P35" s="18"/>
      <c r="Q35" s="228">
        <f>B35*$I$11</f>
        <v>308.17466415286833</v>
      </c>
      <c r="R35" s="231">
        <f>C35*$I$11</f>
        <v>295.21200245675698</v>
      </c>
      <c r="S35" s="232">
        <f t="shared" si="25"/>
        <v>282.24934076064562</v>
      </c>
      <c r="T35" s="232">
        <f t="shared" si="25"/>
        <v>269.28667906453427</v>
      </c>
      <c r="U35" s="232">
        <f t="shared" si="25"/>
        <v>256.32401736842297</v>
      </c>
      <c r="V35" s="233">
        <f t="shared" si="25"/>
        <v>243.36135567231162</v>
      </c>
      <c r="X35" s="13" t="s">
        <v>3</v>
      </c>
      <c r="Y35" s="57">
        <v>25231</v>
      </c>
      <c r="Z35" s="57">
        <v>24474</v>
      </c>
      <c r="AA35" s="57">
        <v>24182</v>
      </c>
      <c r="AB35" s="73">
        <v>23266.25</v>
      </c>
      <c r="AC35" s="73">
        <v>22713</v>
      </c>
      <c r="AD35" s="57">
        <v>22049</v>
      </c>
      <c r="AE35" s="57">
        <v>21273</v>
      </c>
    </row>
    <row r="36" spans="1:32" x14ac:dyDescent="0.25">
      <c r="A36" s="13" t="s">
        <v>4</v>
      </c>
      <c r="B36" s="86">
        <v>0</v>
      </c>
      <c r="C36" s="52">
        <v>0</v>
      </c>
      <c r="D36" s="52"/>
      <c r="E36" s="52"/>
      <c r="F36" s="52"/>
      <c r="G36" s="47"/>
      <c r="I36" s="145" t="s">
        <v>9</v>
      </c>
      <c r="J36" s="114">
        <f t="shared" si="24"/>
        <v>177</v>
      </c>
      <c r="K36" s="111">
        <f t="shared" si="24"/>
        <v>85</v>
      </c>
      <c r="L36" s="111">
        <f t="shared" si="24"/>
        <v>258</v>
      </c>
      <c r="M36" s="115">
        <f t="shared" si="24"/>
        <v>253</v>
      </c>
      <c r="N36" s="179"/>
      <c r="O36" s="12"/>
      <c r="P36" s="18"/>
      <c r="Q36" s="228">
        <f>B36*$I$12</f>
        <v>0</v>
      </c>
      <c r="R36" s="231">
        <f>C36*$I$12</f>
        <v>0</v>
      </c>
      <c r="S36" s="232">
        <f t="shared" ref="S36:V37" si="27">D36*$I$12</f>
        <v>0</v>
      </c>
      <c r="T36" s="232">
        <f t="shared" si="27"/>
        <v>0</v>
      </c>
      <c r="U36" s="232">
        <f t="shared" si="27"/>
        <v>0</v>
      </c>
      <c r="V36" s="233">
        <f t="shared" si="27"/>
        <v>0</v>
      </c>
      <c r="X36" s="39" t="s">
        <v>4</v>
      </c>
      <c r="Y36" s="57">
        <v>0</v>
      </c>
      <c r="Z36" s="57">
        <v>0</v>
      </c>
      <c r="AA36" s="57">
        <v>0</v>
      </c>
      <c r="AB36" s="73">
        <v>0</v>
      </c>
      <c r="AC36" s="73">
        <v>0</v>
      </c>
      <c r="AD36" s="57">
        <v>0</v>
      </c>
      <c r="AE36" s="57">
        <v>0</v>
      </c>
    </row>
    <row r="37" spans="1:32" x14ac:dyDescent="0.25">
      <c r="A37" s="13" t="s">
        <v>5</v>
      </c>
      <c r="B37" s="86">
        <v>63919</v>
      </c>
      <c r="C37" s="52">
        <f>B37</f>
        <v>63919</v>
      </c>
      <c r="D37" s="52">
        <f t="shared" ref="D37:G37" si="28">C37</f>
        <v>63919</v>
      </c>
      <c r="E37" s="52">
        <f t="shared" si="28"/>
        <v>63919</v>
      </c>
      <c r="F37" s="52">
        <f t="shared" si="28"/>
        <v>63919</v>
      </c>
      <c r="G37" s="47">
        <f t="shared" si="28"/>
        <v>63919</v>
      </c>
      <c r="I37" s="123" t="s">
        <v>60</v>
      </c>
      <c r="J37" s="114">
        <f>SUM(J32:J36)</f>
        <v>4406.75</v>
      </c>
      <c r="K37" s="111">
        <f t="shared" ref="K37:M37" si="29">SUM(K32:K36)</f>
        <v>3123.25</v>
      </c>
      <c r="L37" s="111">
        <f t="shared" si="29"/>
        <v>4194</v>
      </c>
      <c r="M37" s="115">
        <f t="shared" si="29"/>
        <v>4508</v>
      </c>
      <c r="N37" s="200">
        <f>ROUND(AVERAGE(J37:M37),0)</f>
        <v>4058</v>
      </c>
      <c r="O37" s="12"/>
      <c r="P37" s="18"/>
      <c r="Q37" s="228">
        <f>B37*$I$12</f>
        <v>82.791481179310793</v>
      </c>
      <c r="R37" s="231">
        <f>C37*$I$12</f>
        <v>82.791481179310793</v>
      </c>
      <c r="S37" s="232">
        <f t="shared" si="27"/>
        <v>82.791481179310793</v>
      </c>
      <c r="T37" s="232">
        <f t="shared" si="27"/>
        <v>82.791481179310793</v>
      </c>
      <c r="U37" s="232">
        <f t="shared" si="27"/>
        <v>82.791481179310793</v>
      </c>
      <c r="V37" s="233">
        <f t="shared" si="27"/>
        <v>82.791481179310793</v>
      </c>
      <c r="X37" s="13" t="s">
        <v>5</v>
      </c>
      <c r="Y37" s="57">
        <v>70546</v>
      </c>
      <c r="Z37" s="57">
        <v>69147</v>
      </c>
      <c r="AA37" s="57">
        <v>68562</v>
      </c>
      <c r="AB37" s="73">
        <v>66949.75</v>
      </c>
      <c r="AC37" s="73">
        <v>66090</v>
      </c>
      <c r="AD37" s="57">
        <v>65053</v>
      </c>
      <c r="AE37" s="57">
        <v>63919</v>
      </c>
    </row>
    <row r="38" spans="1:32" x14ac:dyDescent="0.25">
      <c r="A38" s="13" t="s">
        <v>6</v>
      </c>
      <c r="B38" s="86">
        <v>526476</v>
      </c>
      <c r="C38" s="52">
        <f>B38+I25+I42</f>
        <v>530534</v>
      </c>
      <c r="D38" s="52">
        <f>C38+J25+J42</f>
        <v>534592</v>
      </c>
      <c r="E38" s="52">
        <f>D38+K25+K42</f>
        <v>538650</v>
      </c>
      <c r="F38" s="52">
        <f>E38+L25+L42</f>
        <v>542708</v>
      </c>
      <c r="G38" s="47">
        <f>F38+M25+M42</f>
        <v>546766</v>
      </c>
      <c r="I38" s="13"/>
      <c r="O38" s="12"/>
      <c r="P38" s="18"/>
      <c r="Q38" s="228">
        <f>B38*$I$13</f>
        <v>138.46002945807717</v>
      </c>
      <c r="R38" s="231">
        <f>C38*$I$13</f>
        <v>139.52725911249803</v>
      </c>
      <c r="S38" s="232">
        <f t="shared" ref="S38:V38" si="30">D38*$I$13</f>
        <v>140.59448876691889</v>
      </c>
      <c r="T38" s="232">
        <f t="shared" si="30"/>
        <v>141.66171842133974</v>
      </c>
      <c r="U38" s="232">
        <f t="shared" si="30"/>
        <v>142.7289480757606</v>
      </c>
      <c r="V38" s="233">
        <f t="shared" si="30"/>
        <v>143.79617773018145</v>
      </c>
      <c r="X38" s="13" t="s">
        <v>6</v>
      </c>
      <c r="Y38" s="57">
        <v>466792</v>
      </c>
      <c r="Z38" s="57">
        <v>480480</v>
      </c>
      <c r="AA38" s="57">
        <v>486540</v>
      </c>
      <c r="AB38" s="73">
        <v>498730</v>
      </c>
      <c r="AC38" s="73">
        <v>506642</v>
      </c>
      <c r="AD38" s="57">
        <v>515692</v>
      </c>
      <c r="AE38" s="57">
        <v>526476</v>
      </c>
    </row>
    <row r="39" spans="1:32" x14ac:dyDescent="0.25">
      <c r="A39" s="13" t="s">
        <v>7</v>
      </c>
      <c r="B39" s="86">
        <v>1140</v>
      </c>
      <c r="C39" s="52">
        <f>B39-I$25*B39/(B$34+B$35+B$39+B$41)</f>
        <v>1092.0485099766779</v>
      </c>
      <c r="D39" s="52">
        <f t="shared" ref="D39:G39" si="31">C39-J$25*C39/(C$34+C$35+C$39+C$41)</f>
        <v>1044.0970199533558</v>
      </c>
      <c r="E39" s="52">
        <f t="shared" si="31"/>
        <v>996.14552993003372</v>
      </c>
      <c r="F39" s="52">
        <f t="shared" si="31"/>
        <v>948.19403990671162</v>
      </c>
      <c r="G39" s="47">
        <f t="shared" si="31"/>
        <v>900.24254988338953</v>
      </c>
      <c r="I39" s="13"/>
      <c r="O39" s="12"/>
      <c r="P39" s="18"/>
      <c r="Q39" s="228">
        <f>B39*$I$11</f>
        <v>16.514789504736985</v>
      </c>
      <c r="R39" s="231">
        <f>C39*$I$11</f>
        <v>15.820132694058335</v>
      </c>
      <c r="S39" s="232">
        <f t="shared" ref="S39:V40" si="32">D39*$I$11</f>
        <v>15.125475883379686</v>
      </c>
      <c r="T39" s="232">
        <f t="shared" si="32"/>
        <v>14.430819072701038</v>
      </c>
      <c r="U39" s="232">
        <f t="shared" si="32"/>
        <v>13.736162262022388</v>
      </c>
      <c r="V39" s="233">
        <f t="shared" si="32"/>
        <v>13.041505451343738</v>
      </c>
      <c r="X39" s="13" t="s">
        <v>7</v>
      </c>
      <c r="Y39" s="57">
        <v>1363</v>
      </c>
      <c r="Z39" s="57">
        <v>1334</v>
      </c>
      <c r="AA39" s="57">
        <v>1315</v>
      </c>
      <c r="AB39" s="73">
        <v>1267</v>
      </c>
      <c r="AC39" s="73">
        <v>1249</v>
      </c>
      <c r="AD39" s="57">
        <v>1205</v>
      </c>
      <c r="AE39" s="57">
        <v>1140</v>
      </c>
    </row>
    <row r="40" spans="1:32" x14ac:dyDescent="0.25">
      <c r="A40" s="13" t="s">
        <v>8</v>
      </c>
      <c r="B40" s="86">
        <v>0</v>
      </c>
      <c r="C40" s="52">
        <v>0</v>
      </c>
      <c r="D40" s="52"/>
      <c r="E40" s="52"/>
      <c r="F40" s="52"/>
      <c r="G40" s="47"/>
      <c r="I40" s="39" t="s">
        <v>64</v>
      </c>
      <c r="J40" s="6"/>
      <c r="K40" s="6"/>
      <c r="L40" s="6"/>
      <c r="M40" s="6"/>
      <c r="N40" s="6"/>
      <c r="O40" s="12"/>
      <c r="P40" s="18"/>
      <c r="Q40" s="228">
        <f>B40*$I$11</f>
        <v>0</v>
      </c>
      <c r="R40" s="231">
        <f>C40*$I$11</f>
        <v>0</v>
      </c>
      <c r="S40" s="232">
        <f t="shared" si="32"/>
        <v>0</v>
      </c>
      <c r="T40" s="232">
        <f t="shared" si="32"/>
        <v>0</v>
      </c>
      <c r="U40" s="232">
        <f t="shared" si="32"/>
        <v>0</v>
      </c>
      <c r="V40" s="233">
        <f t="shared" si="32"/>
        <v>0</v>
      </c>
      <c r="X40" s="13" t="s">
        <v>8</v>
      </c>
      <c r="Y40" s="57">
        <v>0</v>
      </c>
      <c r="Z40" s="57">
        <v>0</v>
      </c>
      <c r="AA40" s="57">
        <v>0</v>
      </c>
      <c r="AB40" s="73">
        <v>0</v>
      </c>
      <c r="AC40" s="73">
        <v>0</v>
      </c>
      <c r="AD40" s="57">
        <v>0</v>
      </c>
      <c r="AE40" s="57">
        <v>0</v>
      </c>
    </row>
    <row r="41" spans="1:32" x14ac:dyDescent="0.25">
      <c r="A41" s="13" t="s">
        <v>9</v>
      </c>
      <c r="B41" s="86">
        <v>7300</v>
      </c>
      <c r="C41" s="37">
        <f>B41-I$25*B41/(B$34+B$35+B$39+B$41)</f>
        <v>6992.9422130085513</v>
      </c>
      <c r="D41" s="37">
        <f t="shared" ref="D41:G41" si="33">C41-J$25*C41/(C$34+C$35+C$39+C$41)</f>
        <v>6685.8844260171027</v>
      </c>
      <c r="E41" s="37">
        <f t="shared" si="33"/>
        <v>6378.826639025654</v>
      </c>
      <c r="F41" s="37">
        <f t="shared" si="33"/>
        <v>6071.7688520342053</v>
      </c>
      <c r="G41" s="80">
        <f t="shared" si="33"/>
        <v>5764.7110650427567</v>
      </c>
      <c r="I41" s="190">
        <v>0</v>
      </c>
      <c r="J41" s="188">
        <v>0</v>
      </c>
      <c r="K41" s="188">
        <v>0</v>
      </c>
      <c r="L41" s="188">
        <v>0</v>
      </c>
      <c r="M41" s="188">
        <v>0</v>
      </c>
      <c r="N41" s="185" t="s">
        <v>12</v>
      </c>
      <c r="O41" s="12"/>
      <c r="P41" s="18"/>
      <c r="Q41" s="228">
        <f>B41*$I$14</f>
        <v>35.757701512737604</v>
      </c>
      <c r="R41" s="231">
        <f>C41*$I$14</f>
        <v>34.253635664189389</v>
      </c>
      <c r="S41" s="232">
        <f t="shared" ref="S41:V41" si="34">D41*$I$14</f>
        <v>32.749569815641173</v>
      </c>
      <c r="T41" s="232">
        <f t="shared" si="34"/>
        <v>31.245503967092954</v>
      </c>
      <c r="U41" s="232">
        <f t="shared" si="34"/>
        <v>29.741438118544739</v>
      </c>
      <c r="V41" s="233">
        <f t="shared" si="34"/>
        <v>28.23737226999652</v>
      </c>
      <c r="X41" s="13" t="s">
        <v>9</v>
      </c>
      <c r="Y41" s="57">
        <v>8408</v>
      </c>
      <c r="Z41" s="57">
        <v>8133</v>
      </c>
      <c r="AA41" s="57">
        <v>8073</v>
      </c>
      <c r="AB41" s="73">
        <v>7896</v>
      </c>
      <c r="AC41" s="73">
        <v>7811</v>
      </c>
      <c r="AD41" s="57">
        <v>7553</v>
      </c>
      <c r="AE41" s="57">
        <v>7300</v>
      </c>
    </row>
    <row r="42" spans="1:32" x14ac:dyDescent="0.25">
      <c r="A42" s="13" t="s">
        <v>10</v>
      </c>
      <c r="B42" s="86">
        <v>84104</v>
      </c>
      <c r="C42" s="52">
        <f t="shared" ref="C42" si="35">B42</f>
        <v>84104</v>
      </c>
      <c r="D42" s="52">
        <f t="shared" ref="D42" si="36">C42</f>
        <v>84104</v>
      </c>
      <c r="E42" s="52">
        <f t="shared" ref="E42" si="37">D42</f>
        <v>84104</v>
      </c>
      <c r="F42" s="52">
        <f t="shared" ref="F42" si="38">E42</f>
        <v>84104</v>
      </c>
      <c r="G42" s="47">
        <f t="shared" ref="G42" si="39">F42</f>
        <v>84104</v>
      </c>
      <c r="I42" s="190">
        <v>0</v>
      </c>
      <c r="J42" s="188">
        <v>0</v>
      </c>
      <c r="K42" s="188">
        <v>0</v>
      </c>
      <c r="L42" s="188">
        <v>0</v>
      </c>
      <c r="M42" s="188">
        <v>0</v>
      </c>
      <c r="N42" s="6" t="s">
        <v>11</v>
      </c>
      <c r="O42" s="12"/>
      <c r="P42" s="18"/>
      <c r="Q42" s="228">
        <f>B42*$I$11</f>
        <v>1218.3858390407011</v>
      </c>
      <c r="R42" s="231">
        <f>C42*$I$11</f>
        <v>1218.3858390407011</v>
      </c>
      <c r="S42" s="232">
        <f t="shared" ref="S42:V42" si="40">D42*$I$11</f>
        <v>1218.3858390407011</v>
      </c>
      <c r="T42" s="232">
        <f t="shared" si="40"/>
        <v>1218.3858390407011</v>
      </c>
      <c r="U42" s="232">
        <f t="shared" si="40"/>
        <v>1218.3858390407011</v>
      </c>
      <c r="V42" s="233">
        <f t="shared" si="40"/>
        <v>1218.3858390407011</v>
      </c>
      <c r="X42" s="13" t="s">
        <v>10</v>
      </c>
      <c r="Y42" s="57">
        <v>105355</v>
      </c>
      <c r="Z42" s="57">
        <v>96068</v>
      </c>
      <c r="AA42" s="57">
        <v>95999</v>
      </c>
      <c r="AB42" s="73">
        <v>93914</v>
      </c>
      <c r="AC42" s="73">
        <v>92596</v>
      </c>
      <c r="AD42" s="57">
        <v>91919</v>
      </c>
      <c r="AE42" s="57">
        <v>84104</v>
      </c>
    </row>
    <row r="43" spans="1:32" x14ac:dyDescent="0.25">
      <c r="A43" s="13" t="s">
        <v>22</v>
      </c>
      <c r="B43" s="86">
        <f t="shared" ref="B43:C43" si="41">SUM(B34:B42)</f>
        <v>770974</v>
      </c>
      <c r="C43" s="52">
        <f t="shared" si="41"/>
        <v>770974</v>
      </c>
      <c r="D43" s="52">
        <f t="shared" ref="D43:G43" si="42">SUM(D34:D42)</f>
        <v>770973.99999999988</v>
      </c>
      <c r="E43" s="52">
        <f t="shared" si="42"/>
        <v>770974</v>
      </c>
      <c r="F43" s="52">
        <f t="shared" si="42"/>
        <v>770974</v>
      </c>
      <c r="G43" s="47">
        <f t="shared" si="42"/>
        <v>770974</v>
      </c>
      <c r="I43" s="119"/>
      <c r="J43" s="120"/>
      <c r="O43" s="12"/>
      <c r="P43" s="18"/>
      <c r="Q43" s="228">
        <f t="shared" ref="Q43" si="43">SUM(Q34:Q42)</f>
        <v>2767.2427302126866</v>
      </c>
      <c r="R43" s="231">
        <f t="shared" ref="R43:S43" si="44">SUM(R34:R42)</f>
        <v>2712.4672790253417</v>
      </c>
      <c r="S43" s="232">
        <f t="shared" si="44"/>
        <v>2657.6918278379962</v>
      </c>
      <c r="T43" s="232">
        <f t="shared" ref="T43:V43" si="45">SUM(T34:T42)</f>
        <v>2602.9163766506504</v>
      </c>
      <c r="U43" s="232">
        <f t="shared" si="45"/>
        <v>2548.1409254633054</v>
      </c>
      <c r="V43" s="233">
        <f t="shared" si="45"/>
        <v>2493.36547427596</v>
      </c>
      <c r="X43" s="13" t="s">
        <v>22</v>
      </c>
      <c r="Y43" s="102">
        <f>SUM(Y34:Y42)</f>
        <v>761382</v>
      </c>
      <c r="Z43" s="102">
        <f>SUM(Z34:Z42)</f>
        <v>760056</v>
      </c>
      <c r="AA43" s="102">
        <f>SUM(AA34:AA42)</f>
        <v>763808</v>
      </c>
      <c r="AB43" s="102">
        <f>SUM(AB34:AB42)</f>
        <v>767894</v>
      </c>
      <c r="AC43" s="102">
        <f t="shared" ref="AC43:AD43" si="46">SUM(AC34:AC42)</f>
        <v>770505</v>
      </c>
      <c r="AD43" s="102">
        <f t="shared" si="46"/>
        <v>773647</v>
      </c>
      <c r="AE43" s="102">
        <f t="shared" ref="AE43" si="47">SUM(AE34:AE42)</f>
        <v>770974</v>
      </c>
    </row>
    <row r="44" spans="1:32" x14ac:dyDescent="0.25">
      <c r="A44" s="14" t="s">
        <v>1</v>
      </c>
      <c r="B44" s="96"/>
      <c r="C44" s="49"/>
      <c r="D44" s="49"/>
      <c r="E44" s="49"/>
      <c r="F44" s="49"/>
      <c r="G44" s="65"/>
      <c r="I44" s="14"/>
      <c r="J44" s="15"/>
      <c r="K44" s="15"/>
      <c r="L44" s="15"/>
      <c r="M44" s="15"/>
      <c r="N44" s="15"/>
      <c r="O44" s="99"/>
      <c r="P44" s="29"/>
      <c r="Q44" s="230">
        <f t="shared" ref="Q44" si="48">Q32+Q43</f>
        <v>5693.3368721027673</v>
      </c>
      <c r="R44" s="234">
        <f t="shared" ref="R44:S44" si="49">R32+R43</f>
        <v>5501.6328522174035</v>
      </c>
      <c r="S44" s="235">
        <f t="shared" si="49"/>
        <v>5330.9621775047035</v>
      </c>
      <c r="T44" s="235">
        <f t="shared" ref="T44:V44" si="50">T32+T43</f>
        <v>5160.2915027920035</v>
      </c>
      <c r="U44" s="235">
        <f t="shared" si="50"/>
        <v>4990.7492488918497</v>
      </c>
      <c r="V44" s="236">
        <f t="shared" si="50"/>
        <v>4821.206994991695</v>
      </c>
      <c r="X44" s="186" t="s">
        <v>55</v>
      </c>
      <c r="Y44" s="108"/>
      <c r="Z44" s="109"/>
      <c r="AA44" s="109"/>
      <c r="AB44" s="109"/>
      <c r="AC44" s="109"/>
      <c r="AD44" s="109"/>
      <c r="AE44" s="110"/>
      <c r="AF44" s="72"/>
    </row>
    <row r="45" spans="1:32" x14ac:dyDescent="0.25">
      <c r="X45" s="41"/>
    </row>
    <row r="46" spans="1:32" x14ac:dyDescent="0.25">
      <c r="A46" s="9" t="s">
        <v>95</v>
      </c>
      <c r="B46" s="97" t="s">
        <v>56</v>
      </c>
      <c r="C46" s="294" t="s">
        <v>72</v>
      </c>
      <c r="D46" s="295"/>
      <c r="E46" s="295"/>
      <c r="F46" s="295"/>
      <c r="G46" s="296"/>
      <c r="I46" s="187" t="s">
        <v>111</v>
      </c>
      <c r="J46" s="16"/>
      <c r="K46" s="16"/>
      <c r="L46" s="16"/>
      <c r="M46" s="16"/>
      <c r="N46" s="16"/>
      <c r="O46" s="192"/>
      <c r="Q46" s="294" t="s">
        <v>52</v>
      </c>
      <c r="R46" s="295"/>
      <c r="S46" s="295"/>
      <c r="T46" s="295"/>
      <c r="U46" s="295"/>
      <c r="V46" s="296"/>
      <c r="X46" s="142" t="s">
        <v>42</v>
      </c>
      <c r="Y46" s="103" t="s">
        <v>35</v>
      </c>
      <c r="Z46" s="40" t="s">
        <v>35</v>
      </c>
      <c r="AA46" s="43" t="s">
        <v>35</v>
      </c>
      <c r="AB46" s="40" t="s">
        <v>35</v>
      </c>
      <c r="AC46" s="40" t="s">
        <v>35</v>
      </c>
      <c r="AD46" s="40" t="s">
        <v>35</v>
      </c>
      <c r="AE46" s="104" t="s">
        <v>35</v>
      </c>
    </row>
    <row r="47" spans="1:32" x14ac:dyDescent="0.25">
      <c r="A47" s="11" t="s">
        <v>19</v>
      </c>
      <c r="B47" s="93">
        <v>2024</v>
      </c>
      <c r="C47" s="50">
        <v>2025</v>
      </c>
      <c r="D47" s="91">
        <v>2026</v>
      </c>
      <c r="E47" s="91">
        <v>2027</v>
      </c>
      <c r="F47" s="91">
        <v>2028</v>
      </c>
      <c r="G47" s="25">
        <v>2029</v>
      </c>
      <c r="I47" s="50">
        <v>2025</v>
      </c>
      <c r="J47" s="91">
        <v>2026</v>
      </c>
      <c r="K47" s="91">
        <v>2027</v>
      </c>
      <c r="L47" s="91">
        <v>2028</v>
      </c>
      <c r="M47" s="91">
        <v>2029</v>
      </c>
      <c r="N47" s="6"/>
      <c r="O47" s="129"/>
      <c r="Q47" s="90">
        <v>2024</v>
      </c>
      <c r="R47" s="67">
        <v>2025</v>
      </c>
      <c r="S47" s="68">
        <v>2026</v>
      </c>
      <c r="T47" s="68">
        <v>2027</v>
      </c>
      <c r="U47" s="68">
        <v>2028</v>
      </c>
      <c r="V47" s="69">
        <v>2029</v>
      </c>
      <c r="X47" s="143" t="s">
        <v>19</v>
      </c>
      <c r="Y47" s="105">
        <v>2018</v>
      </c>
      <c r="Z47" s="106">
        <v>2019</v>
      </c>
      <c r="AA47" s="141">
        <v>2020</v>
      </c>
      <c r="AB47" s="106">
        <v>2021</v>
      </c>
      <c r="AC47" s="106">
        <v>2022</v>
      </c>
      <c r="AD47" s="106">
        <v>2023</v>
      </c>
      <c r="AE47" s="107">
        <v>2024</v>
      </c>
    </row>
    <row r="48" spans="1:32" ht="14.45" customHeight="1" x14ac:dyDescent="0.25">
      <c r="A48" s="13" t="s">
        <v>2</v>
      </c>
      <c r="B48" s="94">
        <v>86.050000000000011</v>
      </c>
      <c r="C48" s="66">
        <f>B48-I50*B48/(B48+B49)</f>
        <v>77.085750927314351</v>
      </c>
      <c r="D48" s="53">
        <f>C48-J50*C48/(C48+C49)</f>
        <v>68.12150185462869</v>
      </c>
      <c r="E48" s="53">
        <f>D48-K50*D48/(D48+D49)</f>
        <v>58.613964959356018</v>
      </c>
      <c r="F48" s="53">
        <f>E48-L50*E48/(E48+E49)</f>
        <v>49.106428064083346</v>
      </c>
      <c r="G48" s="130">
        <f>F48-M50*F48/(F48+F49)</f>
        <v>39.598891168810674</v>
      </c>
      <c r="H48" s="8"/>
      <c r="I48" s="39">
        <f>$M$57</f>
        <v>42</v>
      </c>
      <c r="J48" s="6">
        <f>$M$57</f>
        <v>42</v>
      </c>
      <c r="K48" s="6">
        <f>$M$58</f>
        <v>45</v>
      </c>
      <c r="L48" s="6">
        <f>$M$58</f>
        <v>45</v>
      </c>
      <c r="M48" s="6">
        <f>$M$58</f>
        <v>45</v>
      </c>
      <c r="N48" s="6" t="s">
        <v>38</v>
      </c>
      <c r="O48" s="129"/>
      <c r="P48" s="33"/>
      <c r="Q48" s="228">
        <f>B48*$I$7</f>
        <v>74.116984020607561</v>
      </c>
      <c r="R48" s="231">
        <f t="shared" ref="R48:V49" si="51">C48*$I$7</f>
        <v>66.395855545569916</v>
      </c>
      <c r="S48" s="232">
        <f t="shared" si="51"/>
        <v>58.674727070532271</v>
      </c>
      <c r="T48" s="232">
        <f t="shared" si="51"/>
        <v>50.485651415189317</v>
      </c>
      <c r="U48" s="232">
        <f t="shared" si="51"/>
        <v>42.296575759846363</v>
      </c>
      <c r="V48" s="233">
        <f t="shared" si="51"/>
        <v>34.107500104503409</v>
      </c>
      <c r="X48" s="144" t="s">
        <v>2</v>
      </c>
      <c r="Y48" s="42">
        <v>142.9</v>
      </c>
      <c r="Z48" s="42">
        <v>129.6</v>
      </c>
      <c r="AA48" s="42">
        <v>128</v>
      </c>
      <c r="AB48" s="42">
        <v>118.20000000000002</v>
      </c>
      <c r="AC48" s="42">
        <v>112.60000000000001</v>
      </c>
      <c r="AD48" s="42">
        <v>99.960000000000008</v>
      </c>
      <c r="AE48" s="57">
        <v>86.050000000000011</v>
      </c>
    </row>
    <row r="49" spans="1:32" x14ac:dyDescent="0.25">
      <c r="A49" s="13" t="s">
        <v>3</v>
      </c>
      <c r="B49" s="94">
        <v>40.660000000000004</v>
      </c>
      <c r="C49" s="66">
        <f>B49-I50*B49/(B48+B49)</f>
        <v>36.424249072685662</v>
      </c>
      <c r="D49" s="53">
        <f>C49-J50*C49/(C48+C49)</f>
        <v>32.188498145371319</v>
      </c>
      <c r="E49" s="53">
        <f>D49-K50*D49/(D48+D49)</f>
        <v>27.696035040643991</v>
      </c>
      <c r="F49" s="53">
        <f>E49-L50*E49/(E48+E49)</f>
        <v>23.203571935916663</v>
      </c>
      <c r="G49" s="130">
        <f>F49-M50*F49/(F48+F49)</f>
        <v>18.711108831189332</v>
      </c>
      <c r="H49" s="7"/>
      <c r="I49" s="193">
        <f>$N$57</f>
        <v>28.8</v>
      </c>
      <c r="J49" s="194">
        <f>$N$57</f>
        <v>28.8</v>
      </c>
      <c r="K49" s="194">
        <f>$N$58</f>
        <v>31</v>
      </c>
      <c r="L49" s="194">
        <f>$N$58</f>
        <v>31</v>
      </c>
      <c r="M49" s="194">
        <f>$N$58</f>
        <v>31</v>
      </c>
      <c r="N49" s="6" t="s">
        <v>25</v>
      </c>
      <c r="O49" s="129"/>
      <c r="P49" s="33"/>
      <c r="Q49" s="228">
        <f>B49*$I$7</f>
        <v>35.021459271097072</v>
      </c>
      <c r="R49" s="231">
        <f t="shared" si="51"/>
        <v>31.373102690097298</v>
      </c>
      <c r="S49" s="232">
        <f t="shared" si="51"/>
        <v>27.724746109097524</v>
      </c>
      <c r="T49" s="232">
        <f t="shared" si="51"/>
        <v>23.855277008037156</v>
      </c>
      <c r="U49" s="232">
        <f t="shared" si="51"/>
        <v>19.985807906976792</v>
      </c>
      <c r="V49" s="233">
        <f t="shared" si="51"/>
        <v>16.116338805916428</v>
      </c>
      <c r="X49" s="144" t="s">
        <v>3</v>
      </c>
      <c r="Y49" s="42">
        <v>55.9</v>
      </c>
      <c r="Z49" s="42">
        <v>55.3</v>
      </c>
      <c r="AA49" s="42">
        <v>54</v>
      </c>
      <c r="AB49" s="42">
        <v>47.300000000000004</v>
      </c>
      <c r="AC49" s="42">
        <v>46.7</v>
      </c>
      <c r="AD49" s="42">
        <v>43.14</v>
      </c>
      <c r="AE49" s="57">
        <v>40.660000000000004</v>
      </c>
    </row>
    <row r="50" spans="1:32" x14ac:dyDescent="0.25">
      <c r="A50" s="13" t="s">
        <v>4</v>
      </c>
      <c r="B50" s="94">
        <v>0</v>
      </c>
      <c r="C50" s="66">
        <v>0</v>
      </c>
      <c r="D50" s="53">
        <v>0</v>
      </c>
      <c r="E50" s="53">
        <v>0</v>
      </c>
      <c r="F50" s="53">
        <v>0</v>
      </c>
      <c r="G50" s="130">
        <v>0</v>
      </c>
      <c r="H50" s="7"/>
      <c r="I50" s="193">
        <f>$O$57</f>
        <v>13.2</v>
      </c>
      <c r="J50" s="194">
        <f>$O$57</f>
        <v>13.2</v>
      </c>
      <c r="K50" s="194">
        <f>$O$58</f>
        <v>14</v>
      </c>
      <c r="L50" s="194">
        <f>$O$58</f>
        <v>14</v>
      </c>
      <c r="M50" s="194">
        <f>$O$58</f>
        <v>14</v>
      </c>
      <c r="N50" s="6" t="s">
        <v>26</v>
      </c>
      <c r="O50" s="129"/>
      <c r="Q50" s="228">
        <f>B50*$I$8</f>
        <v>0</v>
      </c>
      <c r="R50" s="231">
        <f t="shared" ref="R50:V51" si="52">C50*$I$8</f>
        <v>0</v>
      </c>
      <c r="S50" s="232">
        <f t="shared" si="52"/>
        <v>0</v>
      </c>
      <c r="T50" s="232">
        <f t="shared" si="52"/>
        <v>0</v>
      </c>
      <c r="U50" s="232">
        <f t="shared" si="52"/>
        <v>0</v>
      </c>
      <c r="V50" s="233">
        <f t="shared" si="52"/>
        <v>0</v>
      </c>
      <c r="X50" s="179" t="s">
        <v>4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57">
        <v>0</v>
      </c>
    </row>
    <row r="51" spans="1:32" x14ac:dyDescent="0.25">
      <c r="A51" s="13" t="s">
        <v>5</v>
      </c>
      <c r="B51" s="94">
        <v>2153.2800000000002</v>
      </c>
      <c r="C51" s="66">
        <f>B51</f>
        <v>2153.2800000000002</v>
      </c>
      <c r="D51" s="53">
        <f>C51</f>
        <v>2153.2800000000002</v>
      </c>
      <c r="E51" s="53">
        <f>D51</f>
        <v>2153.2800000000002</v>
      </c>
      <c r="F51" s="53">
        <f>E51</f>
        <v>2153.2800000000002</v>
      </c>
      <c r="G51" s="130">
        <f>F51</f>
        <v>2153.2800000000002</v>
      </c>
      <c r="H51" s="7"/>
      <c r="I51" s="190">
        <v>2400</v>
      </c>
      <c r="J51" s="188">
        <f t="shared" ref="J51:K51" si="53">I51</f>
        <v>2400</v>
      </c>
      <c r="K51" s="188">
        <f t="shared" si="53"/>
        <v>2400</v>
      </c>
      <c r="L51" s="188">
        <f t="shared" ref="L51" si="54">K51</f>
        <v>2400</v>
      </c>
      <c r="M51" s="188">
        <f t="shared" ref="M51" si="55">L51</f>
        <v>2400</v>
      </c>
      <c r="N51" s="6" t="s">
        <v>69</v>
      </c>
      <c r="O51" s="129"/>
      <c r="Q51" s="228">
        <f>B51*$I$8</f>
        <v>208.32751152010471</v>
      </c>
      <c r="R51" s="231">
        <f t="shared" si="52"/>
        <v>208.32751152010471</v>
      </c>
      <c r="S51" s="232">
        <f t="shared" si="52"/>
        <v>208.32751152010471</v>
      </c>
      <c r="T51" s="232">
        <f t="shared" si="52"/>
        <v>208.32751152010471</v>
      </c>
      <c r="U51" s="232">
        <f t="shared" si="52"/>
        <v>208.32751152010471</v>
      </c>
      <c r="V51" s="233">
        <f t="shared" si="52"/>
        <v>208.32751152010471</v>
      </c>
      <c r="X51" s="144" t="s">
        <v>5</v>
      </c>
      <c r="Y51" s="42">
        <v>2164.6</v>
      </c>
      <c r="Z51" s="42">
        <v>2160.6</v>
      </c>
      <c r="AA51" s="42">
        <v>2158</v>
      </c>
      <c r="AB51" s="42">
        <v>2157.1200000000003</v>
      </c>
      <c r="AC51" s="42">
        <v>2157.7000000000003</v>
      </c>
      <c r="AD51" s="42">
        <v>2155.58</v>
      </c>
      <c r="AE51" s="57">
        <v>2153.2800000000002</v>
      </c>
    </row>
    <row r="52" spans="1:32" x14ac:dyDescent="0.25">
      <c r="A52" s="13" t="s">
        <v>6</v>
      </c>
      <c r="B52" s="94">
        <v>2433.4199999999996</v>
      </c>
      <c r="C52" s="66">
        <f>B52+I48+I63</f>
        <v>2475.4199999999996</v>
      </c>
      <c r="D52" s="53">
        <f>C52+J48+J63</f>
        <v>2517.4199999999996</v>
      </c>
      <c r="E52" s="53">
        <f>D52+K48+K63</f>
        <v>2562.4199999999996</v>
      </c>
      <c r="F52" s="53">
        <f>E52+L48+L63</f>
        <v>2607.4199999999996</v>
      </c>
      <c r="G52" s="130">
        <f>F52+M48+M63</f>
        <v>2652.4199999999996</v>
      </c>
      <c r="H52" s="7"/>
      <c r="I52" s="198" t="s">
        <v>65</v>
      </c>
      <c r="J52" s="6"/>
      <c r="K52" s="6"/>
      <c r="L52" s="6"/>
      <c r="M52" s="6"/>
      <c r="N52" s="6"/>
      <c r="O52" s="129"/>
      <c r="Q52" s="228">
        <f>B52*$I$9</f>
        <v>70.197733848830737</v>
      </c>
      <c r="R52" s="231">
        <f t="shared" ref="R52:V52" si="56">C52*$I$9</f>
        <v>71.409322814833686</v>
      </c>
      <c r="S52" s="232">
        <f t="shared" si="56"/>
        <v>72.620911780836636</v>
      </c>
      <c r="T52" s="232">
        <f t="shared" si="56"/>
        <v>73.919042815839788</v>
      </c>
      <c r="U52" s="232">
        <f t="shared" si="56"/>
        <v>75.21717385084294</v>
      </c>
      <c r="V52" s="233">
        <f t="shared" si="56"/>
        <v>76.515304885846106</v>
      </c>
      <c r="X52" s="144" t="s">
        <v>6</v>
      </c>
      <c r="Y52" s="42">
        <v>2201.6</v>
      </c>
      <c r="Z52" s="42">
        <v>2239.1</v>
      </c>
      <c r="AA52" s="42">
        <v>2263</v>
      </c>
      <c r="AB52" s="42">
        <v>2291.63</v>
      </c>
      <c r="AC52" s="42">
        <v>2333</v>
      </c>
      <c r="AD52" s="42">
        <v>2386.5300000000002</v>
      </c>
      <c r="AE52" s="57">
        <v>2433.4199999999996</v>
      </c>
    </row>
    <row r="53" spans="1:32" x14ac:dyDescent="0.25">
      <c r="A53" s="13" t="s">
        <v>7</v>
      </c>
      <c r="B53" s="94">
        <v>318.37</v>
      </c>
      <c r="C53" s="66">
        <f>B53-I49</f>
        <v>289.57</v>
      </c>
      <c r="D53" s="53">
        <f>C53-J49</f>
        <v>260.77</v>
      </c>
      <c r="E53" s="53">
        <f>D53-K49</f>
        <v>229.76999999999998</v>
      </c>
      <c r="F53" s="53">
        <f>E53-L49</f>
        <v>198.76999999999998</v>
      </c>
      <c r="G53" s="130">
        <f>F53-M49</f>
        <v>167.76999999999998</v>
      </c>
      <c r="H53" s="7"/>
      <c r="I53" s="39"/>
      <c r="J53" s="6"/>
      <c r="K53" s="6"/>
      <c r="L53" s="6"/>
      <c r="M53" s="6"/>
      <c r="N53" s="6"/>
      <c r="O53" s="129"/>
      <c r="Q53" s="228">
        <f>B53*$I$6</f>
        <v>368.43946692601997</v>
      </c>
      <c r="R53" s="231">
        <f t="shared" ref="R53:V55" si="57">C53*$I$6</f>
        <v>335.11014366230364</v>
      </c>
      <c r="S53" s="232">
        <f t="shared" si="57"/>
        <v>301.78082039858725</v>
      </c>
      <c r="T53" s="232">
        <f t="shared" si="57"/>
        <v>265.90550716333701</v>
      </c>
      <c r="U53" s="232">
        <f t="shared" si="57"/>
        <v>230.03019392808676</v>
      </c>
      <c r="V53" s="233">
        <f t="shared" si="57"/>
        <v>194.15488069283651</v>
      </c>
      <c r="X53" s="144" t="s">
        <v>7</v>
      </c>
      <c r="Y53" s="42">
        <v>423.7</v>
      </c>
      <c r="Z53" s="42">
        <v>410.7</v>
      </c>
      <c r="AA53" s="42">
        <v>401</v>
      </c>
      <c r="AB53" s="42">
        <v>386.7</v>
      </c>
      <c r="AC53" s="42">
        <v>369.80000000000007</v>
      </c>
      <c r="AD53" s="42">
        <v>342.97999999999996</v>
      </c>
      <c r="AE53" s="57">
        <v>318.37</v>
      </c>
    </row>
    <row r="54" spans="1:32" x14ac:dyDescent="0.25">
      <c r="A54" s="13" t="s">
        <v>8</v>
      </c>
      <c r="B54" s="94">
        <v>0</v>
      </c>
      <c r="C54" s="66">
        <v>0</v>
      </c>
      <c r="D54" s="53">
        <v>0</v>
      </c>
      <c r="E54" s="53">
        <v>0</v>
      </c>
      <c r="F54" s="53">
        <v>0</v>
      </c>
      <c r="G54" s="130">
        <v>0</v>
      </c>
      <c r="I54" s="13"/>
      <c r="O54" s="128"/>
      <c r="Q54" s="228">
        <f>B54*$I$6</f>
        <v>0</v>
      </c>
      <c r="R54" s="231">
        <f t="shared" si="57"/>
        <v>0</v>
      </c>
      <c r="S54" s="232">
        <f t="shared" si="57"/>
        <v>0</v>
      </c>
      <c r="T54" s="232">
        <f t="shared" si="57"/>
        <v>0</v>
      </c>
      <c r="U54" s="232">
        <f t="shared" si="57"/>
        <v>0</v>
      </c>
      <c r="V54" s="233">
        <f t="shared" si="57"/>
        <v>0</v>
      </c>
      <c r="X54" s="144" t="s">
        <v>8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57">
        <v>0</v>
      </c>
    </row>
    <row r="55" spans="1:32" x14ac:dyDescent="0.25">
      <c r="A55" s="13" t="s">
        <v>9</v>
      </c>
      <c r="B55" s="94">
        <v>0</v>
      </c>
      <c r="C55" s="66">
        <v>0</v>
      </c>
      <c r="D55" s="53">
        <v>0</v>
      </c>
      <c r="E55" s="53">
        <v>0</v>
      </c>
      <c r="F55" s="53">
        <v>0</v>
      </c>
      <c r="G55" s="130">
        <v>0</v>
      </c>
      <c r="I55" s="308" t="s">
        <v>81</v>
      </c>
      <c r="J55" s="309"/>
      <c r="K55" s="309"/>
      <c r="L55" s="310"/>
      <c r="M55" s="305" t="s">
        <v>75</v>
      </c>
      <c r="N55" s="306"/>
      <c r="O55" s="307"/>
      <c r="Q55" s="228">
        <f>B55*$I$6</f>
        <v>0</v>
      </c>
      <c r="R55" s="231">
        <f t="shared" si="57"/>
        <v>0</v>
      </c>
      <c r="S55" s="232">
        <f t="shared" si="57"/>
        <v>0</v>
      </c>
      <c r="T55" s="232">
        <f t="shared" si="57"/>
        <v>0</v>
      </c>
      <c r="U55" s="232">
        <f t="shared" si="57"/>
        <v>0</v>
      </c>
      <c r="V55" s="233">
        <f t="shared" si="57"/>
        <v>0</v>
      </c>
      <c r="X55" s="144" t="s">
        <v>9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57">
        <v>0</v>
      </c>
    </row>
    <row r="56" spans="1:32" x14ac:dyDescent="0.25">
      <c r="A56" s="13" t="s">
        <v>10</v>
      </c>
      <c r="B56" s="94">
        <v>0.7</v>
      </c>
      <c r="C56" s="66">
        <f>B56</f>
        <v>0.7</v>
      </c>
      <c r="D56" s="53">
        <f>C56</f>
        <v>0.7</v>
      </c>
      <c r="E56" s="53">
        <f>D56</f>
        <v>0.7</v>
      </c>
      <c r="F56" s="53">
        <f>E56</f>
        <v>0.7</v>
      </c>
      <c r="G56" s="130">
        <f>F56</f>
        <v>0.7</v>
      </c>
      <c r="I56" s="81" t="s">
        <v>39</v>
      </c>
      <c r="J56" s="81" t="s">
        <v>38</v>
      </c>
      <c r="K56" s="81" t="s">
        <v>40</v>
      </c>
      <c r="L56" s="82" t="s">
        <v>41</v>
      </c>
      <c r="M56" s="67" t="s">
        <v>78</v>
      </c>
      <c r="N56" s="68" t="s">
        <v>76</v>
      </c>
      <c r="O56" s="192" t="s">
        <v>77</v>
      </c>
      <c r="Q56" s="228">
        <f>B56*$I$7</f>
        <v>0.602927237820166</v>
      </c>
      <c r="R56" s="231">
        <f t="shared" ref="R56:V56" si="58">C56*$I$7</f>
        <v>0.602927237820166</v>
      </c>
      <c r="S56" s="232">
        <f t="shared" si="58"/>
        <v>0.602927237820166</v>
      </c>
      <c r="T56" s="232">
        <f t="shared" si="58"/>
        <v>0.602927237820166</v>
      </c>
      <c r="U56" s="232">
        <f t="shared" si="58"/>
        <v>0.602927237820166</v>
      </c>
      <c r="V56" s="233">
        <f t="shared" si="58"/>
        <v>0.602927237820166</v>
      </c>
      <c r="X56" s="144" t="s">
        <v>10</v>
      </c>
      <c r="Y56" s="42">
        <v>0.8</v>
      </c>
      <c r="Z56" s="42">
        <v>0.7</v>
      </c>
      <c r="AA56" s="42">
        <v>1</v>
      </c>
      <c r="AB56" s="42">
        <v>0.7</v>
      </c>
      <c r="AC56" s="42">
        <v>0.7</v>
      </c>
      <c r="AD56" s="42">
        <v>0.7</v>
      </c>
      <c r="AE56" s="42">
        <v>0.7</v>
      </c>
    </row>
    <row r="57" spans="1:32" x14ac:dyDescent="0.25">
      <c r="A57" s="13" t="s">
        <v>21</v>
      </c>
      <c r="B57" s="94">
        <f t="shared" ref="B57:F57" si="59">SUM(B48:B56)</f>
        <v>5032.4799999999996</v>
      </c>
      <c r="C57" s="66">
        <f t="shared" si="59"/>
        <v>5032.4799999999996</v>
      </c>
      <c r="D57" s="53">
        <f t="shared" si="59"/>
        <v>5032.4800000000005</v>
      </c>
      <c r="E57" s="53">
        <f t="shared" si="59"/>
        <v>5032.4800000000005</v>
      </c>
      <c r="F57" s="53">
        <f t="shared" si="59"/>
        <v>5032.4800000000005</v>
      </c>
      <c r="G57" s="130">
        <f t="shared" ref="G57" si="60">SUM(G48:G56)</f>
        <v>5032.4800000000005</v>
      </c>
      <c r="I57" s="81" t="s">
        <v>44</v>
      </c>
      <c r="J57" s="81">
        <v>210</v>
      </c>
      <c r="K57" s="81">
        <v>144</v>
      </c>
      <c r="L57" s="81">
        <v>66</v>
      </c>
      <c r="M57" s="39">
        <f>J57/5</f>
        <v>42</v>
      </c>
      <c r="N57" s="6">
        <f t="shared" ref="N57:O58" si="61">K57/5</f>
        <v>28.8</v>
      </c>
      <c r="O57" s="129">
        <f t="shared" si="61"/>
        <v>13.2</v>
      </c>
      <c r="Q57" s="228">
        <f t="shared" ref="Q57:V57" si="62">SUM(Q48:Q56)</f>
        <v>756.70608282448018</v>
      </c>
      <c r="R57" s="231">
        <f t="shared" si="62"/>
        <v>713.21886347072939</v>
      </c>
      <c r="S57" s="232">
        <f t="shared" si="62"/>
        <v>669.7316441169786</v>
      </c>
      <c r="T57" s="232">
        <f t="shared" si="62"/>
        <v>623.0959171603281</v>
      </c>
      <c r="U57" s="232">
        <f t="shared" si="62"/>
        <v>576.46019020367771</v>
      </c>
      <c r="V57" s="233">
        <f t="shared" si="62"/>
        <v>529.82446324702732</v>
      </c>
      <c r="X57" s="144" t="s">
        <v>21</v>
      </c>
      <c r="Y57" s="131">
        <f>SUM(Y48:Y56)</f>
        <v>4989.5</v>
      </c>
      <c r="Z57" s="44">
        <f>SUM(Z48:Z56)</f>
        <v>4996</v>
      </c>
      <c r="AA57" s="44">
        <f>SUM(AA48:AA56)</f>
        <v>5005</v>
      </c>
      <c r="AB57" s="44">
        <f>SUM(AB48:AB56)</f>
        <v>5001.6499999999996</v>
      </c>
      <c r="AC57" s="44">
        <f t="shared" ref="AC57:AD57" si="63">SUM(AC48:AC56)</f>
        <v>5020.5</v>
      </c>
      <c r="AD57" s="44">
        <f t="shared" si="63"/>
        <v>5028.8899999999994</v>
      </c>
      <c r="AE57" s="132">
        <f t="shared" ref="AE57" si="64">SUM(AE48:AE56)</f>
        <v>5032.4799999999996</v>
      </c>
    </row>
    <row r="58" spans="1:32" x14ac:dyDescent="0.25">
      <c r="A58" s="11" t="s">
        <v>20</v>
      </c>
      <c r="B58" s="95"/>
      <c r="C58" s="131"/>
      <c r="D58" s="44"/>
      <c r="E58" s="44"/>
      <c r="F58" s="44"/>
      <c r="G58" s="132"/>
      <c r="H58" s="6"/>
      <c r="I58" s="81" t="s">
        <v>45</v>
      </c>
      <c r="J58" s="81">
        <v>225</v>
      </c>
      <c r="K58" s="81">
        <v>155</v>
      </c>
      <c r="L58" s="81">
        <v>70</v>
      </c>
      <c r="M58" s="39">
        <f>J58/5</f>
        <v>45</v>
      </c>
      <c r="N58" s="6">
        <f t="shared" si="61"/>
        <v>31</v>
      </c>
      <c r="O58" s="129">
        <f t="shared" si="61"/>
        <v>14</v>
      </c>
      <c r="Q58" s="228"/>
      <c r="R58" s="231"/>
      <c r="S58" s="232"/>
      <c r="T58" s="232"/>
      <c r="U58" s="232"/>
      <c r="V58" s="233"/>
      <c r="X58" s="143" t="s">
        <v>20</v>
      </c>
      <c r="Y58" s="62"/>
      <c r="Z58" s="92"/>
      <c r="AA58" s="92"/>
      <c r="AB58" s="92"/>
      <c r="AC58" s="92"/>
      <c r="AD58" s="92"/>
      <c r="AE58" s="63"/>
      <c r="AF58" s="45"/>
    </row>
    <row r="59" spans="1:32" x14ac:dyDescent="0.25">
      <c r="A59" s="13" t="s">
        <v>2</v>
      </c>
      <c r="B59" s="86">
        <v>26182</v>
      </c>
      <c r="C59" s="51">
        <f t="shared" ref="C59:G60" si="65">B59-I$51*B59/(B$59+B$60+B$66)</f>
        <v>23896.360541248363</v>
      </c>
      <c r="D59" s="37">
        <f t="shared" si="65"/>
        <v>21610.721082496726</v>
      </c>
      <c r="E59" s="37">
        <f t="shared" si="65"/>
        <v>19325.081623745089</v>
      </c>
      <c r="F59" s="37">
        <f t="shared" si="65"/>
        <v>17039.442164993452</v>
      </c>
      <c r="G59" s="80">
        <f t="shared" si="65"/>
        <v>14753.802706241815</v>
      </c>
      <c r="H59" s="6"/>
      <c r="I59" s="81" t="s">
        <v>48</v>
      </c>
      <c r="J59" s="81">
        <v>119</v>
      </c>
      <c r="K59" s="81">
        <v>82</v>
      </c>
      <c r="L59" s="81">
        <v>37</v>
      </c>
      <c r="M59" s="83"/>
      <c r="N59" s="32"/>
      <c r="O59" s="197"/>
      <c r="Q59" s="228">
        <f>B59*$I$11</f>
        <v>379.28966562545941</v>
      </c>
      <c r="R59" s="231">
        <f t="shared" ref="R59:V60" si="66">C59*$I$11</f>
        <v>346.17838970878898</v>
      </c>
      <c r="S59" s="232">
        <f t="shared" si="66"/>
        <v>313.06711379211862</v>
      </c>
      <c r="T59" s="232">
        <f t="shared" si="66"/>
        <v>279.9558378754482</v>
      </c>
      <c r="U59" s="232">
        <f t="shared" si="66"/>
        <v>246.8445619587778</v>
      </c>
      <c r="V59" s="233">
        <f t="shared" si="66"/>
        <v>213.73328604210741</v>
      </c>
      <c r="X59" s="144" t="s">
        <v>2</v>
      </c>
      <c r="Y59" s="42">
        <v>31947</v>
      </c>
      <c r="Z59" s="42">
        <v>30915</v>
      </c>
      <c r="AA59" s="42">
        <v>30766</v>
      </c>
      <c r="AB59" s="46">
        <v>29700</v>
      </c>
      <c r="AC59" s="46">
        <v>28604</v>
      </c>
      <c r="AD59" s="42">
        <v>27499</v>
      </c>
      <c r="AE59" s="57">
        <v>26182</v>
      </c>
    </row>
    <row r="60" spans="1:32" x14ac:dyDescent="0.25">
      <c r="A60" s="13" t="s">
        <v>3</v>
      </c>
      <c r="B60" s="86">
        <v>807</v>
      </c>
      <c r="C60" s="51">
        <f t="shared" si="65"/>
        <v>736.55041466608463</v>
      </c>
      <c r="D60" s="37">
        <f t="shared" si="65"/>
        <v>666.10082933216927</v>
      </c>
      <c r="E60" s="37">
        <f t="shared" si="65"/>
        <v>595.6512439982539</v>
      </c>
      <c r="F60" s="37">
        <f t="shared" si="65"/>
        <v>525.20165866433865</v>
      </c>
      <c r="G60" s="80">
        <f t="shared" si="65"/>
        <v>454.75207333042334</v>
      </c>
      <c r="H60" s="6"/>
      <c r="I60" s="39"/>
      <c r="J60" s="6"/>
      <c r="K60" s="6"/>
      <c r="L60" s="6"/>
      <c r="M60" s="6"/>
      <c r="N60" s="6"/>
      <c r="O60" s="129"/>
      <c r="Q60" s="228">
        <f>B60*$I$11</f>
        <v>11.690732570458549</v>
      </c>
      <c r="R60" s="231">
        <f t="shared" si="66"/>
        <v>10.670153559506252</v>
      </c>
      <c r="S60" s="232">
        <f t="shared" si="66"/>
        <v>9.6495745485539555</v>
      </c>
      <c r="T60" s="232">
        <f t="shared" si="66"/>
        <v>8.6289955376016589</v>
      </c>
      <c r="U60" s="232">
        <f t="shared" si="66"/>
        <v>7.6084165266493651</v>
      </c>
      <c r="V60" s="233">
        <f t="shared" si="66"/>
        <v>6.5878375156970694</v>
      </c>
      <c r="X60" s="144" t="s">
        <v>3</v>
      </c>
      <c r="Y60" s="42">
        <v>2666</v>
      </c>
      <c r="Z60" s="42">
        <v>2579</v>
      </c>
      <c r="AA60" s="42">
        <v>2983</v>
      </c>
      <c r="AB60" s="46">
        <v>2436</v>
      </c>
      <c r="AC60" s="46">
        <v>2134</v>
      </c>
      <c r="AD60" s="42">
        <v>1485</v>
      </c>
      <c r="AE60" s="57">
        <v>807</v>
      </c>
    </row>
    <row r="61" spans="1:32" x14ac:dyDescent="0.25">
      <c r="A61" s="13" t="s">
        <v>4</v>
      </c>
      <c r="B61" s="86">
        <v>0</v>
      </c>
      <c r="C61" s="51">
        <v>0</v>
      </c>
      <c r="D61" s="37"/>
      <c r="E61" s="37"/>
      <c r="F61" s="37"/>
      <c r="G61" s="80"/>
      <c r="H61" s="6"/>
      <c r="I61" s="39"/>
      <c r="J61" s="6"/>
      <c r="K61" s="6"/>
      <c r="L61" s="6"/>
      <c r="M61" s="6"/>
      <c r="N61" s="6"/>
      <c r="O61" s="129"/>
      <c r="Q61" s="228">
        <f>B61*$I$12</f>
        <v>0</v>
      </c>
      <c r="R61" s="231">
        <f t="shared" ref="R61:V62" si="67">C61*$I$12</f>
        <v>0</v>
      </c>
      <c r="S61" s="232">
        <f t="shared" si="67"/>
        <v>0</v>
      </c>
      <c r="T61" s="232">
        <f t="shared" si="67"/>
        <v>0</v>
      </c>
      <c r="U61" s="232">
        <f t="shared" si="67"/>
        <v>0</v>
      </c>
      <c r="V61" s="233">
        <f t="shared" si="67"/>
        <v>0</v>
      </c>
      <c r="X61" s="179" t="s">
        <v>4</v>
      </c>
      <c r="Y61" s="42">
        <v>0</v>
      </c>
      <c r="Z61" s="42">
        <v>0</v>
      </c>
      <c r="AA61" s="42">
        <v>0</v>
      </c>
      <c r="AB61" s="46">
        <v>0</v>
      </c>
      <c r="AC61" s="46">
        <v>0</v>
      </c>
      <c r="AD61" s="42">
        <v>0</v>
      </c>
      <c r="AE61" s="57">
        <v>0</v>
      </c>
    </row>
    <row r="62" spans="1:32" x14ac:dyDescent="0.25">
      <c r="A62" s="13" t="s">
        <v>5</v>
      </c>
      <c r="B62" s="86">
        <v>41578</v>
      </c>
      <c r="C62" s="51">
        <f>B62</f>
        <v>41578</v>
      </c>
      <c r="D62" s="37">
        <f t="shared" ref="D62:G62" si="68">C62</f>
        <v>41578</v>
      </c>
      <c r="E62" s="37">
        <f t="shared" si="68"/>
        <v>41578</v>
      </c>
      <c r="F62" s="37">
        <f t="shared" si="68"/>
        <v>41578</v>
      </c>
      <c r="G62" s="80">
        <f t="shared" si="68"/>
        <v>41578</v>
      </c>
      <c r="H62" s="6"/>
      <c r="I62" s="39" t="s">
        <v>64</v>
      </c>
      <c r="J62" s="6"/>
      <c r="K62" s="6"/>
      <c r="L62" s="6"/>
      <c r="M62" s="6"/>
      <c r="N62" s="6"/>
      <c r="O62" s="129"/>
      <c r="Q62" s="228">
        <f>B62*$I$12</f>
        <v>53.854162369145072</v>
      </c>
      <c r="R62" s="231">
        <f t="shared" si="67"/>
        <v>53.854162369145072</v>
      </c>
      <c r="S62" s="232">
        <f t="shared" si="67"/>
        <v>53.854162369145072</v>
      </c>
      <c r="T62" s="232">
        <f t="shared" si="67"/>
        <v>53.854162369145072</v>
      </c>
      <c r="U62" s="232">
        <f t="shared" si="67"/>
        <v>53.854162369145072</v>
      </c>
      <c r="V62" s="233">
        <f t="shared" si="67"/>
        <v>53.854162369145072</v>
      </c>
      <c r="X62" s="144" t="s">
        <v>5</v>
      </c>
      <c r="Y62" s="42">
        <v>44653</v>
      </c>
      <c r="Z62" s="42">
        <v>43995</v>
      </c>
      <c r="AA62" s="42">
        <v>43484</v>
      </c>
      <c r="AB62" s="46">
        <v>42870</v>
      </c>
      <c r="AC62" s="46">
        <v>42576</v>
      </c>
      <c r="AD62" s="42">
        <v>42147</v>
      </c>
      <c r="AE62" s="57">
        <v>41578</v>
      </c>
    </row>
    <row r="63" spans="1:32" x14ac:dyDescent="0.25">
      <c r="A63" s="13" t="s">
        <v>6</v>
      </c>
      <c r="B63" s="86">
        <v>214962</v>
      </c>
      <c r="C63" s="51">
        <f>B63+I51+I64</f>
        <v>217362</v>
      </c>
      <c r="D63" s="37">
        <f>C63+J51+J64</f>
        <v>219762</v>
      </c>
      <c r="E63" s="37">
        <f>D63+K51+K64</f>
        <v>222162</v>
      </c>
      <c r="F63" s="37">
        <f>E63+L51+L64</f>
        <v>224562</v>
      </c>
      <c r="G63" s="80">
        <f>F63+M51+M64</f>
        <v>226962</v>
      </c>
      <c r="H63" s="6"/>
      <c r="I63" s="190">
        <v>0</v>
      </c>
      <c r="J63" s="188">
        <v>0</v>
      </c>
      <c r="K63" s="188">
        <v>0</v>
      </c>
      <c r="L63" s="188">
        <v>0</v>
      </c>
      <c r="M63" s="188">
        <v>0</v>
      </c>
      <c r="N63" s="6" t="s">
        <v>12</v>
      </c>
      <c r="O63" s="129"/>
      <c r="Q63" s="228">
        <f>B63*$I$13</f>
        <v>56.533716356238806</v>
      </c>
      <c r="R63" s="231">
        <f t="shared" ref="R63:V63" si="69">C63*$I$13</f>
        <v>57.164901957670565</v>
      </c>
      <c r="S63" s="232">
        <f t="shared" si="69"/>
        <v>57.796087559102318</v>
      </c>
      <c r="T63" s="232">
        <f t="shared" si="69"/>
        <v>58.427273160534078</v>
      </c>
      <c r="U63" s="232">
        <f t="shared" si="69"/>
        <v>59.058458761965831</v>
      </c>
      <c r="V63" s="233">
        <f t="shared" si="69"/>
        <v>59.689644363397591</v>
      </c>
      <c r="X63" s="144" t="s">
        <v>6</v>
      </c>
      <c r="Y63" s="42">
        <v>194072</v>
      </c>
      <c r="Z63" s="42">
        <v>198937</v>
      </c>
      <c r="AA63" s="42">
        <v>202309</v>
      </c>
      <c r="AB63" s="46">
        <v>205746</v>
      </c>
      <c r="AC63" s="46">
        <v>208489</v>
      </c>
      <c r="AD63" s="42">
        <v>211714</v>
      </c>
      <c r="AE63" s="57">
        <v>214962</v>
      </c>
    </row>
    <row r="64" spans="1:32" x14ac:dyDescent="0.25">
      <c r="A64" s="13" t="s">
        <v>7</v>
      </c>
      <c r="B64" s="86">
        <v>0</v>
      </c>
      <c r="C64" s="51">
        <v>0</v>
      </c>
      <c r="D64" s="37">
        <v>0</v>
      </c>
      <c r="E64" s="37">
        <v>0</v>
      </c>
      <c r="F64" s="37">
        <v>0</v>
      </c>
      <c r="G64" s="80">
        <v>0</v>
      </c>
      <c r="H64" s="6"/>
      <c r="I64" s="190">
        <v>0</v>
      </c>
      <c r="J64" s="188">
        <v>0</v>
      </c>
      <c r="K64" s="188">
        <v>0</v>
      </c>
      <c r="L64" s="188">
        <v>0</v>
      </c>
      <c r="M64" s="188">
        <v>0</v>
      </c>
      <c r="N64" s="6" t="s">
        <v>11</v>
      </c>
      <c r="O64" s="129"/>
      <c r="Q64" s="228">
        <f>B64*$I$11</f>
        <v>0</v>
      </c>
      <c r="R64" s="231">
        <f t="shared" ref="R64:V65" si="70">C64*$I$11</f>
        <v>0</v>
      </c>
      <c r="S64" s="232">
        <f t="shared" si="70"/>
        <v>0</v>
      </c>
      <c r="T64" s="232">
        <f t="shared" si="70"/>
        <v>0</v>
      </c>
      <c r="U64" s="232">
        <f t="shared" si="70"/>
        <v>0</v>
      </c>
      <c r="V64" s="233">
        <f t="shared" si="70"/>
        <v>0</v>
      </c>
      <c r="X64" s="144" t="s">
        <v>7</v>
      </c>
      <c r="Y64" s="42">
        <v>0</v>
      </c>
      <c r="Z64" s="42">
        <v>0</v>
      </c>
      <c r="AA64" s="42">
        <v>0</v>
      </c>
      <c r="AB64" s="46">
        <v>0</v>
      </c>
      <c r="AC64" s="46">
        <v>0</v>
      </c>
      <c r="AD64" s="42">
        <v>0</v>
      </c>
      <c r="AE64" s="57">
        <v>0</v>
      </c>
    </row>
    <row r="65" spans="1:31" x14ac:dyDescent="0.25">
      <c r="A65" s="13" t="s">
        <v>8</v>
      </c>
      <c r="B65" s="86">
        <v>0</v>
      </c>
      <c r="C65" s="51">
        <v>0</v>
      </c>
      <c r="D65" s="37">
        <v>0</v>
      </c>
      <c r="E65" s="37">
        <v>0</v>
      </c>
      <c r="F65" s="37">
        <v>0</v>
      </c>
      <c r="G65" s="80">
        <v>0</v>
      </c>
      <c r="H65" s="6"/>
      <c r="I65" s="13"/>
      <c r="O65" s="129"/>
      <c r="Q65" s="228">
        <f>B65*$I$11</f>
        <v>0</v>
      </c>
      <c r="R65" s="231">
        <f t="shared" si="70"/>
        <v>0</v>
      </c>
      <c r="S65" s="232">
        <f t="shared" si="70"/>
        <v>0</v>
      </c>
      <c r="T65" s="232">
        <f t="shared" si="70"/>
        <v>0</v>
      </c>
      <c r="U65" s="232">
        <f t="shared" si="70"/>
        <v>0</v>
      </c>
      <c r="V65" s="233">
        <f t="shared" si="70"/>
        <v>0</v>
      </c>
      <c r="X65" s="144" t="s">
        <v>8</v>
      </c>
      <c r="Y65" s="42">
        <v>0</v>
      </c>
      <c r="Z65" s="42">
        <v>0</v>
      </c>
      <c r="AA65" s="42">
        <v>0</v>
      </c>
      <c r="AB65" s="46">
        <v>0</v>
      </c>
      <c r="AC65" s="46">
        <v>0</v>
      </c>
      <c r="AD65" s="42">
        <v>0</v>
      </c>
      <c r="AE65" s="57">
        <v>0</v>
      </c>
    </row>
    <row r="66" spans="1:31" x14ac:dyDescent="0.25">
      <c r="A66" s="13" t="s">
        <v>9</v>
      </c>
      <c r="B66" s="86">
        <v>503</v>
      </c>
      <c r="C66" s="51">
        <f>B66-I$51*B66/(B$59+B$60+B$66)</f>
        <v>459.08904408555213</v>
      </c>
      <c r="D66" s="37">
        <f>C66-J$51*C66/(C$59+C$60+C$66)</f>
        <v>415.17808817110426</v>
      </c>
      <c r="E66" s="37">
        <f>D66-K$51*D66/(D$59+D$60+D$66)</f>
        <v>371.26713225665645</v>
      </c>
      <c r="F66" s="37">
        <f>E66-L$51*E66/(E$59+E$60+E$66)</f>
        <v>327.35617634220864</v>
      </c>
      <c r="G66" s="80">
        <f>F66-M$51*F66/(F$59+F$60+F$66)</f>
        <v>283.44522042776077</v>
      </c>
      <c r="H66" s="6"/>
      <c r="I66" s="13"/>
      <c r="O66" s="129"/>
      <c r="Q66" s="228">
        <f>B66*$I$14</f>
        <v>2.4638525836858927</v>
      </c>
      <c r="R66" s="231">
        <f t="shared" ref="R66:V66" si="71">C66*$I$14</f>
        <v>2.248762877558796</v>
      </c>
      <c r="S66" s="232">
        <f t="shared" si="71"/>
        <v>2.0336731714316989</v>
      </c>
      <c r="T66" s="232">
        <f t="shared" si="71"/>
        <v>1.8185834653046025</v>
      </c>
      <c r="U66" s="232">
        <f t="shared" si="71"/>
        <v>1.6034937591775058</v>
      </c>
      <c r="V66" s="233">
        <f t="shared" si="71"/>
        <v>1.3884040530504089</v>
      </c>
      <c r="X66" s="144" t="s">
        <v>9</v>
      </c>
      <c r="Y66" s="42">
        <v>509</v>
      </c>
      <c r="Z66" s="42">
        <f>Y66</f>
        <v>509</v>
      </c>
      <c r="AA66" s="42">
        <v>509</v>
      </c>
      <c r="AB66" s="46">
        <v>509</v>
      </c>
      <c r="AC66" s="46">
        <v>506</v>
      </c>
      <c r="AD66" s="42">
        <v>506</v>
      </c>
      <c r="AE66" s="57">
        <v>503</v>
      </c>
    </row>
    <row r="67" spans="1:31" x14ac:dyDescent="0.25">
      <c r="A67" s="13" t="s">
        <v>10</v>
      </c>
      <c r="B67" s="86">
        <v>0</v>
      </c>
      <c r="C67" s="51">
        <v>0</v>
      </c>
      <c r="D67" s="37"/>
      <c r="E67" s="37"/>
      <c r="F67" s="37"/>
      <c r="G67" s="80"/>
      <c r="H67" s="6"/>
      <c r="I67" s="13"/>
      <c r="O67" s="129"/>
      <c r="Q67" s="228">
        <f>B67*$I$11</f>
        <v>0</v>
      </c>
      <c r="R67" s="231">
        <f t="shared" ref="R67:V67" si="72">C67*$I$11</f>
        <v>0</v>
      </c>
      <c r="S67" s="232">
        <f t="shared" si="72"/>
        <v>0</v>
      </c>
      <c r="T67" s="232">
        <f t="shared" si="72"/>
        <v>0</v>
      </c>
      <c r="U67" s="232">
        <f t="shared" si="72"/>
        <v>0</v>
      </c>
      <c r="V67" s="233">
        <f t="shared" si="72"/>
        <v>0</v>
      </c>
      <c r="X67" s="144" t="s">
        <v>10</v>
      </c>
      <c r="Y67" s="42">
        <v>0</v>
      </c>
      <c r="Z67" s="42">
        <v>0</v>
      </c>
      <c r="AA67" s="42">
        <v>0</v>
      </c>
      <c r="AB67" s="46">
        <v>0</v>
      </c>
      <c r="AC67" s="46">
        <v>0</v>
      </c>
      <c r="AD67" s="42">
        <v>0</v>
      </c>
      <c r="AE67" s="57">
        <v>0</v>
      </c>
    </row>
    <row r="68" spans="1:31" x14ac:dyDescent="0.25">
      <c r="A68" s="13" t="s">
        <v>22</v>
      </c>
      <c r="B68" s="86">
        <f t="shared" ref="B68:C68" si="73">SUM(B59:B67)</f>
        <v>284032</v>
      </c>
      <c r="C68" s="51">
        <f t="shared" si="73"/>
        <v>284031.99999999994</v>
      </c>
      <c r="D68" s="37">
        <f t="shared" ref="D68:G68" si="74">SUM(D59:D67)</f>
        <v>284032</v>
      </c>
      <c r="E68" s="37">
        <f t="shared" si="74"/>
        <v>284032</v>
      </c>
      <c r="F68" s="37">
        <f t="shared" si="74"/>
        <v>284032</v>
      </c>
      <c r="G68" s="80">
        <f t="shared" si="74"/>
        <v>284032</v>
      </c>
      <c r="H68" s="6"/>
      <c r="I68" s="39"/>
      <c r="J68" s="6"/>
      <c r="K68" s="6"/>
      <c r="L68" s="6"/>
      <c r="M68" s="6"/>
      <c r="N68" s="6"/>
      <c r="O68" s="129"/>
      <c r="Q68" s="242">
        <f t="shared" ref="Q68" si="75">SUM(Q59:Q67)</f>
        <v>503.83212950498768</v>
      </c>
      <c r="R68" s="241">
        <f t="shared" ref="R68:V68" si="76">SUM(R59:R67)</f>
        <v>470.1163704726697</v>
      </c>
      <c r="S68" s="243">
        <f t="shared" si="76"/>
        <v>436.40061144035167</v>
      </c>
      <c r="T68" s="243">
        <f t="shared" si="76"/>
        <v>402.68485240803358</v>
      </c>
      <c r="U68" s="243">
        <f t="shared" si="76"/>
        <v>368.9690933757156</v>
      </c>
      <c r="V68" s="244">
        <f t="shared" si="76"/>
        <v>335.25333434339751</v>
      </c>
      <c r="X68" s="144" t="s">
        <v>22</v>
      </c>
      <c r="Y68" s="62">
        <f>SUM(Y59:Y67)</f>
        <v>273847</v>
      </c>
      <c r="Z68" s="92">
        <f>SUM(Z59:Z67)</f>
        <v>276935</v>
      </c>
      <c r="AA68" s="92">
        <f>SUM(AA59:AA67)</f>
        <v>280051</v>
      </c>
      <c r="AB68" s="92">
        <f t="shared" ref="AB68:AD68" si="77">SUM(AB59:AB67)</f>
        <v>281261</v>
      </c>
      <c r="AC68" s="92">
        <f t="shared" si="77"/>
        <v>282309</v>
      </c>
      <c r="AD68" s="92">
        <f t="shared" si="77"/>
        <v>283351</v>
      </c>
      <c r="AE68" s="63">
        <f t="shared" ref="AE68" si="78">SUM(AE59:AE67)</f>
        <v>284032</v>
      </c>
    </row>
    <row r="69" spans="1:31" x14ac:dyDescent="0.25">
      <c r="A69" s="14" t="s">
        <v>1</v>
      </c>
      <c r="B69" s="96"/>
      <c r="C69" s="133"/>
      <c r="D69" s="74"/>
      <c r="E69" s="74"/>
      <c r="F69" s="74"/>
      <c r="G69" s="134"/>
      <c r="H69" s="6"/>
      <c r="I69" s="83"/>
      <c r="J69" s="32"/>
      <c r="K69" s="32"/>
      <c r="L69" s="32"/>
      <c r="M69" s="32"/>
      <c r="N69" s="32"/>
      <c r="O69" s="197"/>
      <c r="Q69" s="245">
        <f t="shared" ref="Q69" si="79">Q57+Q68</f>
        <v>1260.5382123294678</v>
      </c>
      <c r="R69" s="246">
        <f t="shared" ref="R69:V69" si="80">R57+R68</f>
        <v>1183.3352339433991</v>
      </c>
      <c r="S69" s="247">
        <f t="shared" si="80"/>
        <v>1106.1322555573302</v>
      </c>
      <c r="T69" s="247">
        <f t="shared" si="80"/>
        <v>1025.7807695683616</v>
      </c>
      <c r="U69" s="247">
        <f t="shared" si="80"/>
        <v>945.42928357939331</v>
      </c>
      <c r="V69" s="248">
        <f t="shared" si="80"/>
        <v>865.07779759042478</v>
      </c>
      <c r="X69" s="145"/>
      <c r="Y69" s="14"/>
      <c r="Z69" s="15"/>
      <c r="AA69" s="15"/>
      <c r="AB69" s="15"/>
      <c r="AC69" s="15"/>
      <c r="AD69" s="15"/>
      <c r="AE69" s="99"/>
    </row>
    <row r="70" spans="1:31" x14ac:dyDescent="0.25">
      <c r="X70" s="41"/>
    </row>
    <row r="71" spans="1:31" x14ac:dyDescent="0.25">
      <c r="A71" s="9" t="s">
        <v>18</v>
      </c>
      <c r="B71" s="97" t="s">
        <v>56</v>
      </c>
      <c r="C71" s="294" t="s">
        <v>72</v>
      </c>
      <c r="D71" s="295"/>
      <c r="E71" s="295"/>
      <c r="F71" s="295"/>
      <c r="G71" s="296"/>
      <c r="I71" s="187" t="s">
        <v>67</v>
      </c>
      <c r="J71" s="16"/>
      <c r="K71" s="16"/>
      <c r="L71" s="16"/>
      <c r="M71" s="16"/>
      <c r="N71" s="16"/>
      <c r="O71" s="23"/>
      <c r="P71" s="10"/>
      <c r="Q71" s="294" t="s">
        <v>52</v>
      </c>
      <c r="R71" s="295"/>
      <c r="S71" s="295"/>
      <c r="T71" s="295"/>
      <c r="U71" s="295"/>
      <c r="V71" s="296"/>
      <c r="X71" s="142" t="s">
        <v>18</v>
      </c>
      <c r="Y71" s="103" t="s">
        <v>35</v>
      </c>
      <c r="Z71" s="40" t="s">
        <v>35</v>
      </c>
      <c r="AA71" s="40" t="s">
        <v>35</v>
      </c>
      <c r="AB71" s="40" t="s">
        <v>35</v>
      </c>
      <c r="AC71" s="40" t="s">
        <v>35</v>
      </c>
      <c r="AD71" s="40" t="s">
        <v>35</v>
      </c>
      <c r="AE71" s="104" t="s">
        <v>35</v>
      </c>
    </row>
    <row r="72" spans="1:31" x14ac:dyDescent="0.25">
      <c r="A72" s="11" t="s">
        <v>19</v>
      </c>
      <c r="B72" s="93">
        <v>2024</v>
      </c>
      <c r="C72" s="50">
        <v>2025</v>
      </c>
      <c r="D72" s="91">
        <v>2026</v>
      </c>
      <c r="E72" s="91">
        <v>2027</v>
      </c>
      <c r="F72" s="91">
        <v>2028</v>
      </c>
      <c r="G72" s="25">
        <v>2029</v>
      </c>
      <c r="H72" s="6"/>
      <c r="I72" s="50">
        <v>2025</v>
      </c>
      <c r="J72" s="91">
        <v>2026</v>
      </c>
      <c r="K72" s="91">
        <v>2027</v>
      </c>
      <c r="L72" s="91">
        <v>2028</v>
      </c>
      <c r="M72" s="91">
        <v>2029</v>
      </c>
      <c r="N72" s="6"/>
      <c r="O72" s="12"/>
      <c r="Q72" s="90">
        <v>2024</v>
      </c>
      <c r="R72" s="67">
        <v>2025</v>
      </c>
      <c r="S72" s="68">
        <v>2026</v>
      </c>
      <c r="T72" s="68">
        <v>2027</v>
      </c>
      <c r="U72" s="68">
        <v>2028</v>
      </c>
      <c r="V72" s="69">
        <v>2029</v>
      </c>
      <c r="X72" s="143" t="s">
        <v>19</v>
      </c>
      <c r="Y72" s="105">
        <v>2018</v>
      </c>
      <c r="Z72" s="106">
        <v>2019</v>
      </c>
      <c r="AA72" s="106">
        <v>2020</v>
      </c>
      <c r="AB72" s="106">
        <v>2021</v>
      </c>
      <c r="AC72" s="106">
        <v>2022</v>
      </c>
      <c r="AD72" s="106">
        <v>2023</v>
      </c>
      <c r="AE72" s="107">
        <v>2024</v>
      </c>
    </row>
    <row r="73" spans="1:31" x14ac:dyDescent="0.25">
      <c r="A73" s="13" t="s">
        <v>2</v>
      </c>
      <c r="B73" s="94">
        <v>9.7799999999999994</v>
      </c>
      <c r="C73" s="60">
        <f t="shared" ref="C73:E74" si="81">B73-I74</f>
        <v>5.7499999999999991</v>
      </c>
      <c r="D73" s="34">
        <f t="shared" si="81"/>
        <v>4.9399999999999995</v>
      </c>
      <c r="E73" s="34">
        <f t="shared" si="81"/>
        <v>3.9799999999999995</v>
      </c>
      <c r="F73" s="53"/>
      <c r="G73" s="130"/>
      <c r="H73" s="30"/>
      <c r="I73" s="201">
        <v>6.98</v>
      </c>
      <c r="J73" s="202">
        <v>5.4</v>
      </c>
      <c r="K73" s="202">
        <v>5.2</v>
      </c>
      <c r="L73" s="202"/>
      <c r="M73" s="6"/>
      <c r="N73" s="6" t="s">
        <v>25</v>
      </c>
      <c r="O73" s="135"/>
      <c r="Q73" s="228">
        <f>B73*$I$7</f>
        <v>8.4237548369731758</v>
      </c>
      <c r="R73" s="231">
        <f t="shared" ref="R73:V74" si="82">C73*$I$7</f>
        <v>4.9526165963799338</v>
      </c>
      <c r="S73" s="232">
        <f t="shared" si="82"/>
        <v>4.2549436497594568</v>
      </c>
      <c r="T73" s="232">
        <f t="shared" si="82"/>
        <v>3.4280720093203718</v>
      </c>
      <c r="U73" s="232">
        <f t="shared" si="82"/>
        <v>0</v>
      </c>
      <c r="V73" s="233">
        <f t="shared" si="82"/>
        <v>0</v>
      </c>
      <c r="X73" s="144" t="s">
        <v>2</v>
      </c>
      <c r="Y73" s="54">
        <v>13.8</v>
      </c>
      <c r="Z73" s="54">
        <v>12.69</v>
      </c>
      <c r="AA73" s="54">
        <v>12.23</v>
      </c>
      <c r="AB73" s="56">
        <v>11.69</v>
      </c>
      <c r="AC73" s="42">
        <v>11.440000000000001</v>
      </c>
      <c r="AD73" s="56">
        <v>10.41</v>
      </c>
      <c r="AE73" s="56">
        <v>9.7799999999999994</v>
      </c>
    </row>
    <row r="74" spans="1:31" x14ac:dyDescent="0.25">
      <c r="A74" s="13" t="s">
        <v>3</v>
      </c>
      <c r="B74" s="94">
        <v>15.83</v>
      </c>
      <c r="C74" s="60">
        <f t="shared" si="81"/>
        <v>13.91</v>
      </c>
      <c r="D74" s="34">
        <f t="shared" si="81"/>
        <v>12.42</v>
      </c>
      <c r="E74" s="34">
        <f t="shared" si="81"/>
        <v>10.92</v>
      </c>
      <c r="F74" s="53"/>
      <c r="G74" s="130"/>
      <c r="H74" s="30"/>
      <c r="I74" s="201">
        <v>4.03</v>
      </c>
      <c r="J74" s="202">
        <v>0.81</v>
      </c>
      <c r="K74" s="203">
        <v>0.96</v>
      </c>
      <c r="L74" s="204"/>
      <c r="M74" s="6"/>
      <c r="N74" s="6" t="s">
        <v>32</v>
      </c>
      <c r="O74" s="77"/>
      <c r="Q74" s="228">
        <f>B74*$I$7</f>
        <v>13.634768820990326</v>
      </c>
      <c r="R74" s="231">
        <f t="shared" si="82"/>
        <v>11.981025540112155</v>
      </c>
      <c r="S74" s="232">
        <f t="shared" si="82"/>
        <v>10.697651848180659</v>
      </c>
      <c r="T74" s="232">
        <f t="shared" si="82"/>
        <v>9.4056649099945897</v>
      </c>
      <c r="U74" s="232">
        <f t="shared" si="82"/>
        <v>0</v>
      </c>
      <c r="V74" s="233">
        <f t="shared" si="82"/>
        <v>0</v>
      </c>
      <c r="X74" s="144" t="s">
        <v>3</v>
      </c>
      <c r="Y74" s="54">
        <v>18.11</v>
      </c>
      <c r="Z74" s="54">
        <v>18.05</v>
      </c>
      <c r="AA74" s="54">
        <v>17.760000000000002</v>
      </c>
      <c r="AB74" s="56">
        <v>17.61</v>
      </c>
      <c r="AC74" s="42">
        <v>17.809999999999999</v>
      </c>
      <c r="AD74" s="56">
        <v>17.12</v>
      </c>
      <c r="AE74" s="56">
        <v>15.83</v>
      </c>
    </row>
    <row r="75" spans="1:31" x14ac:dyDescent="0.25">
      <c r="A75" s="13" t="s">
        <v>4</v>
      </c>
      <c r="B75" s="94">
        <v>0</v>
      </c>
      <c r="C75" s="60">
        <f>B75</f>
        <v>0</v>
      </c>
      <c r="D75" s="34">
        <f>C75</f>
        <v>0</v>
      </c>
      <c r="E75" s="34">
        <f t="shared" ref="E75" si="83">D75</f>
        <v>0</v>
      </c>
      <c r="F75" s="53"/>
      <c r="G75" s="130"/>
      <c r="H75" s="30"/>
      <c r="I75" s="201">
        <v>1.92</v>
      </c>
      <c r="J75" s="202">
        <v>1.49</v>
      </c>
      <c r="K75" s="203">
        <v>1.5</v>
      </c>
      <c r="L75" s="204"/>
      <c r="M75" s="6"/>
      <c r="N75" s="6" t="s">
        <v>28</v>
      </c>
      <c r="O75" s="77"/>
      <c r="Q75" s="228">
        <f>B75*$I$8</f>
        <v>0</v>
      </c>
      <c r="R75" s="231">
        <f t="shared" ref="R75:V76" si="84">C75*$I$8</f>
        <v>0</v>
      </c>
      <c r="S75" s="232">
        <f t="shared" si="84"/>
        <v>0</v>
      </c>
      <c r="T75" s="232">
        <f t="shared" si="84"/>
        <v>0</v>
      </c>
      <c r="U75" s="232">
        <f t="shared" si="84"/>
        <v>0</v>
      </c>
      <c r="V75" s="233">
        <f t="shared" si="84"/>
        <v>0</v>
      </c>
      <c r="X75" s="179" t="s">
        <v>4</v>
      </c>
      <c r="Y75" s="54">
        <v>0</v>
      </c>
      <c r="Z75" s="54">
        <v>0</v>
      </c>
      <c r="AA75" s="54">
        <v>0</v>
      </c>
      <c r="AB75" s="56">
        <v>0</v>
      </c>
      <c r="AC75" s="42">
        <v>0</v>
      </c>
      <c r="AD75" s="56">
        <v>0</v>
      </c>
      <c r="AE75" s="56">
        <v>0</v>
      </c>
    </row>
    <row r="76" spans="1:31" x14ac:dyDescent="0.25">
      <c r="A76" s="13" t="s">
        <v>5</v>
      </c>
      <c r="B76" s="94">
        <v>356.74</v>
      </c>
      <c r="C76" s="60">
        <f>B76</f>
        <v>356.74</v>
      </c>
      <c r="D76" s="34">
        <f>C76</f>
        <v>356.74</v>
      </c>
      <c r="E76" s="34">
        <f>D76</f>
        <v>356.74</v>
      </c>
      <c r="F76" s="53"/>
      <c r="G76" s="130"/>
      <c r="H76" s="30"/>
      <c r="I76" s="190">
        <v>420</v>
      </c>
      <c r="J76" s="188">
        <v>217</v>
      </c>
      <c r="K76" s="205">
        <v>224</v>
      </c>
      <c r="L76" s="204"/>
      <c r="M76" s="6"/>
      <c r="N76" s="6" t="s">
        <v>33</v>
      </c>
      <c r="O76" s="77"/>
      <c r="Q76" s="228">
        <f>B76*$I$8</f>
        <v>34.514209234136828</v>
      </c>
      <c r="R76" s="231">
        <f t="shared" si="84"/>
        <v>34.514209234136828</v>
      </c>
      <c r="S76" s="232">
        <f t="shared" si="84"/>
        <v>34.514209234136828</v>
      </c>
      <c r="T76" s="232">
        <f t="shared" si="84"/>
        <v>34.514209234136828</v>
      </c>
      <c r="U76" s="232">
        <f t="shared" si="84"/>
        <v>0</v>
      </c>
      <c r="V76" s="233">
        <f t="shared" si="84"/>
        <v>0</v>
      </c>
      <c r="X76" s="144" t="s">
        <v>5</v>
      </c>
      <c r="Y76" s="54">
        <v>362.97</v>
      </c>
      <c r="Z76" s="54">
        <v>362.69</v>
      </c>
      <c r="AA76" s="54">
        <v>361.9</v>
      </c>
      <c r="AB76" s="56">
        <v>359.38</v>
      </c>
      <c r="AC76" s="42">
        <v>360.02</v>
      </c>
      <c r="AD76" s="56">
        <v>357.81</v>
      </c>
      <c r="AE76" s="56">
        <v>356.74</v>
      </c>
    </row>
    <row r="77" spans="1:31" x14ac:dyDescent="0.25">
      <c r="A77" s="13" t="s">
        <v>6</v>
      </c>
      <c r="B77" s="94">
        <v>356.65</v>
      </c>
      <c r="C77" s="60">
        <f>B77+I73+I74+I75</f>
        <v>369.58</v>
      </c>
      <c r="D77" s="34">
        <f>C77+J73+J74+J75</f>
        <v>377.28</v>
      </c>
      <c r="E77" s="34">
        <f>D77+K73+K74+K75</f>
        <v>384.93999999999994</v>
      </c>
      <c r="F77" s="53"/>
      <c r="G77" s="130"/>
      <c r="I77" s="206"/>
      <c r="J77" s="207"/>
      <c r="K77" s="208"/>
      <c r="L77" s="208"/>
      <c r="M77" s="6"/>
      <c r="N77" s="207"/>
      <c r="O77" s="77"/>
      <c r="Q77" s="228">
        <f>B77*$I$9</f>
        <v>10.288409636308359</v>
      </c>
      <c r="R77" s="231">
        <f t="shared" ref="R77:V77" si="85">C77*$I$9</f>
        <v>10.661405953699266</v>
      </c>
      <c r="S77" s="232">
        <f t="shared" si="85"/>
        <v>10.883530597466471</v>
      </c>
      <c r="T77" s="232">
        <f t="shared" si="85"/>
        <v>11.104501346980342</v>
      </c>
      <c r="U77" s="232">
        <f t="shared" si="85"/>
        <v>0</v>
      </c>
      <c r="V77" s="233">
        <f t="shared" si="85"/>
        <v>0</v>
      </c>
      <c r="X77" s="144" t="s">
        <v>6</v>
      </c>
      <c r="Y77" s="54">
        <v>315.57</v>
      </c>
      <c r="Z77" s="54">
        <v>324.17</v>
      </c>
      <c r="AA77" s="54">
        <v>333.09000000000003</v>
      </c>
      <c r="AB77" s="56">
        <v>334.58</v>
      </c>
      <c r="AC77" s="42">
        <v>340.72999999999996</v>
      </c>
      <c r="AD77" s="56">
        <v>349.77</v>
      </c>
      <c r="AE77" s="56">
        <v>356.65</v>
      </c>
    </row>
    <row r="78" spans="1:31" x14ac:dyDescent="0.25">
      <c r="A78" s="13" t="s">
        <v>7</v>
      </c>
      <c r="B78" s="94">
        <v>26.84</v>
      </c>
      <c r="C78" s="60">
        <f>B78-I$73</f>
        <v>19.86</v>
      </c>
      <c r="D78" s="34">
        <f>C78-J73</f>
        <v>14.459999999999999</v>
      </c>
      <c r="E78" s="34">
        <f>D78-K73</f>
        <v>9.259999999999998</v>
      </c>
      <c r="F78" s="53"/>
      <c r="G78" s="130"/>
      <c r="H78" s="30"/>
      <c r="I78" s="206" t="s">
        <v>98</v>
      </c>
      <c r="J78" s="207"/>
      <c r="K78" s="6"/>
      <c r="L78" s="6"/>
      <c r="M78" s="6"/>
      <c r="N78" s="6"/>
      <c r="O78" s="77"/>
      <c r="Q78" s="228">
        <f>B78*$I$6</f>
        <v>31.061077652713436</v>
      </c>
      <c r="R78" s="231">
        <f t="shared" ref="R78:V80" si="86">C78*$I$6</f>
        <v>22.983345833937733</v>
      </c>
      <c r="S78" s="232">
        <f t="shared" si="86"/>
        <v>16.734097721990917</v>
      </c>
      <c r="T78" s="232">
        <f t="shared" si="86"/>
        <v>10.716303243819908</v>
      </c>
      <c r="U78" s="232">
        <f t="shared" si="86"/>
        <v>0</v>
      </c>
      <c r="V78" s="233">
        <f t="shared" si="86"/>
        <v>0</v>
      </c>
      <c r="X78" s="144" t="s">
        <v>7</v>
      </c>
      <c r="Y78" s="54">
        <v>50.43</v>
      </c>
      <c r="Z78" s="54">
        <v>46.13</v>
      </c>
      <c r="AA78" s="54">
        <v>44.62</v>
      </c>
      <c r="AB78" s="56">
        <v>41.41</v>
      </c>
      <c r="AC78" s="42">
        <v>36.379999999999988</v>
      </c>
      <c r="AD78" s="56">
        <v>31.12</v>
      </c>
      <c r="AE78" s="56">
        <v>26.84</v>
      </c>
    </row>
    <row r="79" spans="1:31" x14ac:dyDescent="0.25">
      <c r="A79" s="13" t="s">
        <v>8</v>
      </c>
      <c r="B79" s="94">
        <v>0</v>
      </c>
      <c r="C79" s="60">
        <v>0</v>
      </c>
      <c r="D79" s="34">
        <v>0</v>
      </c>
      <c r="E79" s="34">
        <v>0</v>
      </c>
      <c r="F79" s="53"/>
      <c r="G79" s="130"/>
      <c r="H79" s="18"/>
      <c r="I79" s="39"/>
      <c r="J79" s="6"/>
      <c r="K79" s="6"/>
      <c r="L79" s="6"/>
      <c r="M79" s="6"/>
      <c r="N79" s="6"/>
      <c r="O79" s="77"/>
      <c r="Q79" s="228">
        <f>B79*$I$6</f>
        <v>0</v>
      </c>
      <c r="R79" s="231">
        <f t="shared" si="86"/>
        <v>0</v>
      </c>
      <c r="S79" s="232">
        <f t="shared" si="86"/>
        <v>0</v>
      </c>
      <c r="T79" s="232">
        <f t="shared" si="86"/>
        <v>0</v>
      </c>
      <c r="U79" s="232">
        <f t="shared" si="86"/>
        <v>0</v>
      </c>
      <c r="V79" s="233">
        <f t="shared" si="86"/>
        <v>0</v>
      </c>
      <c r="X79" s="144" t="s">
        <v>8</v>
      </c>
      <c r="Y79" s="54">
        <v>0</v>
      </c>
      <c r="Z79" s="54">
        <v>0</v>
      </c>
      <c r="AA79" s="54">
        <v>0</v>
      </c>
      <c r="AB79" s="56">
        <v>0</v>
      </c>
      <c r="AC79" s="42">
        <v>0</v>
      </c>
      <c r="AD79" s="56">
        <v>0</v>
      </c>
      <c r="AE79" s="56">
        <v>0</v>
      </c>
    </row>
    <row r="80" spans="1:31" x14ac:dyDescent="0.25">
      <c r="A80" s="13" t="s">
        <v>9</v>
      </c>
      <c r="B80" s="94">
        <v>0</v>
      </c>
      <c r="C80" s="60">
        <v>0</v>
      </c>
      <c r="D80" s="34">
        <v>0</v>
      </c>
      <c r="E80" s="34">
        <v>0</v>
      </c>
      <c r="F80" s="53"/>
      <c r="G80" s="130"/>
      <c r="H80" s="18"/>
      <c r="I80" s="39" t="s">
        <v>64</v>
      </c>
      <c r="J80" s="194"/>
      <c r="K80" s="194"/>
      <c r="L80" s="194"/>
      <c r="M80" s="194"/>
      <c r="N80" s="6"/>
      <c r="O80" s="77"/>
      <c r="Q80" s="228">
        <f>B80*$I$6</f>
        <v>0</v>
      </c>
      <c r="R80" s="231">
        <f t="shared" si="86"/>
        <v>0</v>
      </c>
      <c r="S80" s="232">
        <f t="shared" si="86"/>
        <v>0</v>
      </c>
      <c r="T80" s="232">
        <f t="shared" si="86"/>
        <v>0</v>
      </c>
      <c r="U80" s="232">
        <f t="shared" si="86"/>
        <v>0</v>
      </c>
      <c r="V80" s="233">
        <f t="shared" si="86"/>
        <v>0</v>
      </c>
      <c r="X80" s="144" t="s">
        <v>9</v>
      </c>
      <c r="Y80" s="54">
        <v>0</v>
      </c>
      <c r="Z80" s="54">
        <v>0</v>
      </c>
      <c r="AA80" s="54">
        <v>0</v>
      </c>
      <c r="AB80" s="56">
        <v>0</v>
      </c>
      <c r="AC80" s="42">
        <v>0</v>
      </c>
      <c r="AD80" s="56">
        <v>0</v>
      </c>
      <c r="AE80" s="56">
        <v>0</v>
      </c>
    </row>
    <row r="81" spans="1:32" x14ac:dyDescent="0.25">
      <c r="A81" s="13" t="s">
        <v>10</v>
      </c>
      <c r="B81" s="94">
        <v>0</v>
      </c>
      <c r="C81" s="60">
        <v>0</v>
      </c>
      <c r="D81" s="34">
        <v>0</v>
      </c>
      <c r="E81" s="34">
        <v>0</v>
      </c>
      <c r="F81" s="53"/>
      <c r="G81" s="130"/>
      <c r="I81" s="190">
        <v>0</v>
      </c>
      <c r="J81" s="188">
        <v>0</v>
      </c>
      <c r="K81" s="188">
        <v>0</v>
      </c>
      <c r="L81" s="188">
        <v>0</v>
      </c>
      <c r="M81" s="188">
        <v>0</v>
      </c>
      <c r="N81" s="6" t="s">
        <v>12</v>
      </c>
      <c r="O81" s="77"/>
      <c r="Q81" s="228">
        <f>B81*$I$7</f>
        <v>0</v>
      </c>
      <c r="R81" s="231">
        <f t="shared" ref="R81:V81" si="87">C81*$I$7</f>
        <v>0</v>
      </c>
      <c r="S81" s="232">
        <f t="shared" si="87"/>
        <v>0</v>
      </c>
      <c r="T81" s="232">
        <f t="shared" si="87"/>
        <v>0</v>
      </c>
      <c r="U81" s="232">
        <f t="shared" si="87"/>
        <v>0</v>
      </c>
      <c r="V81" s="233">
        <f t="shared" si="87"/>
        <v>0</v>
      </c>
      <c r="X81" s="144" t="s">
        <v>10</v>
      </c>
      <c r="Y81" s="54">
        <v>0</v>
      </c>
      <c r="Z81" s="54">
        <v>0</v>
      </c>
      <c r="AA81" s="54">
        <v>0</v>
      </c>
      <c r="AB81" s="56">
        <v>0</v>
      </c>
      <c r="AC81" s="42">
        <v>0</v>
      </c>
      <c r="AD81" s="56">
        <v>0</v>
      </c>
      <c r="AE81" s="56">
        <v>0</v>
      </c>
    </row>
    <row r="82" spans="1:32" x14ac:dyDescent="0.25">
      <c r="A82" s="13" t="s">
        <v>21</v>
      </c>
      <c r="B82" s="94">
        <f>SUM(B73:B81)</f>
        <v>765.84</v>
      </c>
      <c r="C82" s="60">
        <f t="shared" ref="C82:E82" si="88">SUM(C73:C81)</f>
        <v>765.84</v>
      </c>
      <c r="D82" s="34">
        <f t="shared" si="88"/>
        <v>765.84</v>
      </c>
      <c r="E82" s="34">
        <f t="shared" si="88"/>
        <v>765.83999999999992</v>
      </c>
      <c r="F82" s="53"/>
      <c r="G82" s="130"/>
      <c r="H82" s="18"/>
      <c r="I82" s="190">
        <v>0</v>
      </c>
      <c r="J82" s="188">
        <v>0</v>
      </c>
      <c r="K82" s="188">
        <v>0</v>
      </c>
      <c r="L82" s="188">
        <v>0</v>
      </c>
      <c r="M82" s="188">
        <v>0</v>
      </c>
      <c r="N82" s="6" t="s">
        <v>11</v>
      </c>
      <c r="O82" s="77"/>
      <c r="Q82" s="228">
        <f t="shared" ref="Q82:V82" si="89">SUM(Q73:Q81)</f>
        <v>97.922220181122128</v>
      </c>
      <c r="R82" s="231">
        <f t="shared" si="89"/>
        <v>85.092603158265916</v>
      </c>
      <c r="S82" s="232">
        <f t="shared" si="89"/>
        <v>77.084433051534333</v>
      </c>
      <c r="T82" s="232">
        <f t="shared" si="89"/>
        <v>69.168750744252037</v>
      </c>
      <c r="U82" s="232">
        <f t="shared" si="89"/>
        <v>0</v>
      </c>
      <c r="V82" s="233">
        <f t="shared" si="89"/>
        <v>0</v>
      </c>
      <c r="X82" s="144" t="s">
        <v>21</v>
      </c>
      <c r="Y82" s="146">
        <f>SUM(Y73:Y81)</f>
        <v>760.88</v>
      </c>
      <c r="Z82" s="147">
        <f>SUM(Z73:Z81)</f>
        <v>763.73</v>
      </c>
      <c r="AA82" s="147">
        <f>SUM(AA73:AA81)</f>
        <v>769.6</v>
      </c>
      <c r="AB82" s="147">
        <f>SUM(AB73:AB81)</f>
        <v>764.67</v>
      </c>
      <c r="AC82" s="147">
        <f t="shared" ref="AC82" si="90">SUM(AC73:AC81)</f>
        <v>766.38</v>
      </c>
      <c r="AD82" s="147">
        <f>SUM(AD73:AD81)</f>
        <v>766.23</v>
      </c>
      <c r="AE82" s="148">
        <f>SUM(AE73:AE81)</f>
        <v>765.84</v>
      </c>
    </row>
    <row r="83" spans="1:32" x14ac:dyDescent="0.25">
      <c r="A83" s="11" t="s">
        <v>20</v>
      </c>
      <c r="B83" s="95"/>
      <c r="C83" s="62"/>
      <c r="D83" s="92"/>
      <c r="E83" s="92"/>
      <c r="F83" s="53"/>
      <c r="G83" s="130"/>
      <c r="H83" s="18"/>
      <c r="I83" s="39"/>
      <c r="J83" s="6"/>
      <c r="K83" s="6"/>
      <c r="L83" s="6"/>
      <c r="M83" s="6"/>
      <c r="N83" s="6"/>
      <c r="O83" s="77"/>
      <c r="Q83" s="228"/>
      <c r="R83" s="231"/>
      <c r="S83" s="232"/>
      <c r="T83" s="232"/>
      <c r="U83" s="232"/>
      <c r="V83" s="233"/>
      <c r="X83" s="143" t="s">
        <v>20</v>
      </c>
      <c r="Y83" s="146"/>
      <c r="Z83" s="3"/>
      <c r="AA83" s="3"/>
      <c r="AB83" s="3"/>
      <c r="AC83" s="3"/>
      <c r="AD83" s="3"/>
      <c r="AE83" s="149"/>
      <c r="AF83" s="3"/>
    </row>
    <row r="84" spans="1:32" x14ac:dyDescent="0.25">
      <c r="A84" s="13" t="s">
        <v>2</v>
      </c>
      <c r="B84" s="86">
        <v>857</v>
      </c>
      <c r="C84" s="70">
        <f t="shared" ref="C84:E85" si="91">B84-I$76*B84/(B$84+B$85+B$89+B$91)</f>
        <v>637.25641025641028</v>
      </c>
      <c r="D84" s="52">
        <f t="shared" si="91"/>
        <v>523.72222222222229</v>
      </c>
      <c r="E84" s="52">
        <f t="shared" si="91"/>
        <v>406.52564102564105</v>
      </c>
      <c r="F84" s="37"/>
      <c r="G84" s="80"/>
      <c r="H84" s="18"/>
      <c r="I84" s="13"/>
      <c r="O84" s="77"/>
      <c r="Q84" s="228">
        <f>B84*$I$11</f>
        <v>12.415065443473329</v>
      </c>
      <c r="R84" s="231">
        <f t="shared" ref="R84:V85" si="92">C84*$I$11</f>
        <v>9.2317153297622188</v>
      </c>
      <c r="S84" s="232">
        <f t="shared" si="92"/>
        <v>7.5869844376781463</v>
      </c>
      <c r="T84" s="232">
        <f t="shared" si="92"/>
        <v>5.8891977103655542</v>
      </c>
      <c r="U84" s="232">
        <f t="shared" si="92"/>
        <v>0</v>
      </c>
      <c r="V84" s="233">
        <f t="shared" si="92"/>
        <v>0</v>
      </c>
      <c r="X84" s="144" t="s">
        <v>2</v>
      </c>
      <c r="Y84" s="55">
        <v>1768</v>
      </c>
      <c r="Z84" s="55">
        <v>1544</v>
      </c>
      <c r="AA84" s="55">
        <v>1423</v>
      </c>
      <c r="AB84" s="57">
        <v>1324</v>
      </c>
      <c r="AC84" s="57">
        <v>1185</v>
      </c>
      <c r="AD84" s="57">
        <v>972</v>
      </c>
      <c r="AE84" s="57">
        <v>857</v>
      </c>
    </row>
    <row r="85" spans="1:32" x14ac:dyDescent="0.25">
      <c r="A85" s="13" t="s">
        <v>3</v>
      </c>
      <c r="B85" s="86">
        <v>661</v>
      </c>
      <c r="C85" s="70">
        <f t="shared" si="91"/>
        <v>491.51282051282055</v>
      </c>
      <c r="D85" s="52">
        <f t="shared" si="91"/>
        <v>403.94444444444451</v>
      </c>
      <c r="E85" s="52">
        <f t="shared" si="91"/>
        <v>313.5512820512821</v>
      </c>
      <c r="F85" s="37"/>
      <c r="G85" s="80"/>
      <c r="H85" s="18"/>
      <c r="I85" s="13"/>
      <c r="O85" s="77"/>
      <c r="Q85" s="228">
        <f>B85*$I$11</f>
        <v>9.5756805812553925</v>
      </c>
      <c r="R85" s="231">
        <f t="shared" si="92"/>
        <v>7.1203778681129846</v>
      </c>
      <c r="S85" s="232">
        <f t="shared" si="92"/>
        <v>5.8518047996560734</v>
      </c>
      <c r="T85" s="232">
        <f t="shared" si="92"/>
        <v>4.5423100193134553</v>
      </c>
      <c r="U85" s="232">
        <f t="shared" si="92"/>
        <v>0</v>
      </c>
      <c r="V85" s="233">
        <f t="shared" si="92"/>
        <v>0</v>
      </c>
      <c r="X85" s="144" t="s">
        <v>3</v>
      </c>
      <c r="Y85" s="55">
        <v>843</v>
      </c>
      <c r="Z85" s="55">
        <v>815</v>
      </c>
      <c r="AA85" s="55">
        <v>795</v>
      </c>
      <c r="AB85" s="57">
        <v>771</v>
      </c>
      <c r="AC85" s="57">
        <v>744</v>
      </c>
      <c r="AD85" s="57">
        <v>713</v>
      </c>
      <c r="AE85" s="57">
        <v>661</v>
      </c>
    </row>
    <row r="86" spans="1:32" x14ac:dyDescent="0.25">
      <c r="A86" s="13" t="s">
        <v>4</v>
      </c>
      <c r="B86" s="86">
        <v>0</v>
      </c>
      <c r="C86" s="70">
        <f t="shared" ref="C86:C87" si="93">B86</f>
        <v>0</v>
      </c>
      <c r="D86" s="52">
        <f t="shared" ref="D86:D87" si="94">C86</f>
        <v>0</v>
      </c>
      <c r="E86" s="52">
        <f t="shared" ref="E86:E87" si="95">D86</f>
        <v>0</v>
      </c>
      <c r="F86" s="37"/>
      <c r="G86" s="80"/>
      <c r="H86" s="18"/>
      <c r="I86" s="76"/>
      <c r="J86" s="18"/>
      <c r="K86" s="18"/>
      <c r="L86" s="18"/>
      <c r="M86" s="136"/>
      <c r="N86" s="18"/>
      <c r="O86" s="77"/>
      <c r="Q86" s="228">
        <f>B86*$I$12</f>
        <v>0</v>
      </c>
      <c r="R86" s="231">
        <f t="shared" ref="R86:V87" si="96">C86*$I$12</f>
        <v>0</v>
      </c>
      <c r="S86" s="232">
        <f t="shared" si="96"/>
        <v>0</v>
      </c>
      <c r="T86" s="232">
        <f t="shared" si="96"/>
        <v>0</v>
      </c>
      <c r="U86" s="232">
        <f t="shared" si="96"/>
        <v>0</v>
      </c>
      <c r="V86" s="233">
        <f t="shared" si="96"/>
        <v>0</v>
      </c>
      <c r="X86" s="179" t="s">
        <v>4</v>
      </c>
      <c r="Y86" s="55">
        <v>0</v>
      </c>
      <c r="Z86" s="55">
        <v>0</v>
      </c>
      <c r="AA86" s="55">
        <v>0</v>
      </c>
      <c r="AB86" s="57">
        <v>0</v>
      </c>
      <c r="AC86" s="57">
        <v>0</v>
      </c>
      <c r="AD86" s="57">
        <v>0</v>
      </c>
      <c r="AE86" s="57">
        <v>0</v>
      </c>
    </row>
    <row r="87" spans="1:32" x14ac:dyDescent="0.25">
      <c r="A87" s="13" t="s">
        <v>5</v>
      </c>
      <c r="B87" s="86">
        <v>6250</v>
      </c>
      <c r="C87" s="70">
        <f t="shared" si="93"/>
        <v>6250</v>
      </c>
      <c r="D87" s="52">
        <f t="shared" si="94"/>
        <v>6250</v>
      </c>
      <c r="E87" s="52">
        <f t="shared" si="95"/>
        <v>6250</v>
      </c>
      <c r="F87" s="37"/>
      <c r="G87" s="80"/>
      <c r="H87" s="18"/>
      <c r="I87" s="76"/>
      <c r="J87" s="18"/>
      <c r="K87" s="18"/>
      <c r="L87" s="18"/>
      <c r="M87" s="18"/>
      <c r="N87" s="18"/>
      <c r="O87" s="77"/>
      <c r="Q87" s="228">
        <f>B87*$I$12</f>
        <v>8.0953512628591255</v>
      </c>
      <c r="R87" s="231">
        <f t="shared" si="96"/>
        <v>8.0953512628591255</v>
      </c>
      <c r="S87" s="232">
        <f t="shared" si="96"/>
        <v>8.0953512628591255</v>
      </c>
      <c r="T87" s="232">
        <f t="shared" si="96"/>
        <v>8.0953512628591255</v>
      </c>
      <c r="U87" s="232">
        <f t="shared" si="96"/>
        <v>0</v>
      </c>
      <c r="V87" s="233">
        <f t="shared" si="96"/>
        <v>0</v>
      </c>
      <c r="X87" s="144" t="s">
        <v>5</v>
      </c>
      <c r="Y87" s="55">
        <v>6981</v>
      </c>
      <c r="Z87" s="55">
        <v>6844</v>
      </c>
      <c r="AA87" s="55">
        <v>6810</v>
      </c>
      <c r="AB87" s="57">
        <v>6722</v>
      </c>
      <c r="AC87" s="57">
        <v>6617</v>
      </c>
      <c r="AD87" s="57">
        <v>6441</v>
      </c>
      <c r="AE87" s="57">
        <v>6250</v>
      </c>
    </row>
    <row r="88" spans="1:32" x14ac:dyDescent="0.25">
      <c r="A88" s="13" t="s">
        <v>6</v>
      </c>
      <c r="B88" s="86">
        <v>25019</v>
      </c>
      <c r="C88" s="70">
        <f>B88+I76+I82</f>
        <v>25439</v>
      </c>
      <c r="D88" s="52">
        <f>C88+J76+J82</f>
        <v>25656</v>
      </c>
      <c r="E88" s="52">
        <f>D88+K76+K82</f>
        <v>25880</v>
      </c>
      <c r="F88" s="37"/>
      <c r="G88" s="80"/>
      <c r="H88" s="18"/>
      <c r="I88" s="76"/>
      <c r="J88" s="18"/>
      <c r="K88" s="18"/>
      <c r="L88" s="18"/>
      <c r="M88" s="18"/>
      <c r="N88" s="18"/>
      <c r="O88" s="77"/>
      <c r="Q88" s="228">
        <f>B88*$I$13</f>
        <v>6.5798469009254603</v>
      </c>
      <c r="R88" s="231">
        <f t="shared" ref="R88:V88" si="97">C88*$I$13</f>
        <v>6.6903043811760172</v>
      </c>
      <c r="S88" s="232">
        <f t="shared" si="97"/>
        <v>6.7473740793054722</v>
      </c>
      <c r="T88" s="232">
        <f t="shared" si="97"/>
        <v>6.8062847354391023</v>
      </c>
      <c r="U88" s="232">
        <f t="shared" si="97"/>
        <v>0</v>
      </c>
      <c r="V88" s="233">
        <f t="shared" si="97"/>
        <v>0</v>
      </c>
      <c r="X88" s="144" t="s">
        <v>6</v>
      </c>
      <c r="Y88" s="55">
        <v>22420</v>
      </c>
      <c r="Z88" s="55">
        <v>23000</v>
      </c>
      <c r="AA88" s="55">
        <v>23464</v>
      </c>
      <c r="AB88" s="57">
        <v>23750</v>
      </c>
      <c r="AC88" s="57">
        <v>24161</v>
      </c>
      <c r="AD88" s="57">
        <v>24531</v>
      </c>
      <c r="AE88" s="57">
        <v>25019</v>
      </c>
    </row>
    <row r="89" spans="1:32" x14ac:dyDescent="0.25">
      <c r="A89" s="13" t="s">
        <v>7</v>
      </c>
      <c r="B89" s="86">
        <v>1</v>
      </c>
      <c r="C89" s="70">
        <f>B89-I$76*B89/(B$84+B$85+B$89+B$91)</f>
        <v>0.74358974358974361</v>
      </c>
      <c r="D89" s="52">
        <f>C89-J$76*C89/(C$84+C$85+C$89+C$91)</f>
        <v>0.61111111111111116</v>
      </c>
      <c r="E89" s="52">
        <f>D89-K$76*D89/(D$84+D$85+D$89+D$91)</f>
        <v>0.47435897435897439</v>
      </c>
      <c r="F89" s="37"/>
      <c r="G89" s="80"/>
      <c r="H89" s="18"/>
      <c r="I89" s="76"/>
      <c r="J89" s="18"/>
      <c r="K89" s="18"/>
      <c r="L89" s="18"/>
      <c r="M89" s="18"/>
      <c r="N89" s="18"/>
      <c r="O89" s="77"/>
      <c r="Q89" s="228">
        <f>B89*$I$11</f>
        <v>1.44866574602956E-2</v>
      </c>
      <c r="R89" s="231">
        <f t="shared" ref="R89:V90" si="98">C89*$I$11</f>
        <v>1.0772129906373652E-2</v>
      </c>
      <c r="S89" s="232">
        <f t="shared" si="98"/>
        <v>8.852957336847312E-3</v>
      </c>
      <c r="T89" s="232">
        <f t="shared" si="98"/>
        <v>6.8718759747556056E-3</v>
      </c>
      <c r="U89" s="232">
        <f t="shared" si="98"/>
        <v>0</v>
      </c>
      <c r="V89" s="233">
        <f t="shared" si="98"/>
        <v>0</v>
      </c>
      <c r="X89" s="144" t="s">
        <v>7</v>
      </c>
      <c r="Y89" s="55">
        <v>1</v>
      </c>
      <c r="Z89" s="55">
        <v>1</v>
      </c>
      <c r="AA89" s="55">
        <v>1</v>
      </c>
      <c r="AB89" s="57">
        <v>1</v>
      </c>
      <c r="AC89" s="57">
        <v>1</v>
      </c>
      <c r="AD89" s="57">
        <v>1</v>
      </c>
      <c r="AE89" s="57">
        <v>1</v>
      </c>
    </row>
    <row r="90" spans="1:32" x14ac:dyDescent="0.25">
      <c r="A90" s="13" t="s">
        <v>8</v>
      </c>
      <c r="B90" s="86">
        <v>0</v>
      </c>
      <c r="C90" s="70">
        <f>B90</f>
        <v>0</v>
      </c>
      <c r="D90" s="52">
        <f t="shared" ref="D90:E90" si="99">C90</f>
        <v>0</v>
      </c>
      <c r="E90" s="52">
        <f t="shared" si="99"/>
        <v>0</v>
      </c>
      <c r="F90" s="37"/>
      <c r="G90" s="80"/>
      <c r="H90" s="18"/>
      <c r="I90" s="76"/>
      <c r="J90" s="18"/>
      <c r="K90" s="18"/>
      <c r="L90" s="18"/>
      <c r="M90" s="18"/>
      <c r="N90" s="18"/>
      <c r="O90" s="77"/>
      <c r="Q90" s="228">
        <f>B90*$I$11</f>
        <v>0</v>
      </c>
      <c r="R90" s="231">
        <f t="shared" si="98"/>
        <v>0</v>
      </c>
      <c r="S90" s="232">
        <f t="shared" si="98"/>
        <v>0</v>
      </c>
      <c r="T90" s="232">
        <f t="shared" si="98"/>
        <v>0</v>
      </c>
      <c r="U90" s="232">
        <f t="shared" si="98"/>
        <v>0</v>
      </c>
      <c r="V90" s="233">
        <f t="shared" si="98"/>
        <v>0</v>
      </c>
      <c r="X90" s="144" t="s">
        <v>8</v>
      </c>
      <c r="Y90" s="55">
        <v>0</v>
      </c>
      <c r="Z90" s="55">
        <v>0</v>
      </c>
      <c r="AA90" s="55">
        <v>0</v>
      </c>
      <c r="AB90" s="57">
        <v>0</v>
      </c>
      <c r="AC90" s="57">
        <v>0</v>
      </c>
      <c r="AD90" s="57">
        <v>0</v>
      </c>
      <c r="AE90" s="57">
        <v>0</v>
      </c>
    </row>
    <row r="91" spans="1:32" x14ac:dyDescent="0.25">
      <c r="A91" s="13" t="s">
        <v>9</v>
      </c>
      <c r="B91" s="86">
        <v>119</v>
      </c>
      <c r="C91" s="51">
        <f>B91-I$76*B91/(B$84+B$85+B$89+B$91)</f>
        <v>88.487179487179489</v>
      </c>
      <c r="D91" s="37">
        <f>C91-J$76*C91/(C$84+C$85+C$89+C$91)</f>
        <v>72.722222222222229</v>
      </c>
      <c r="E91" s="37">
        <f>D91-K$76*D91/(D$84+D$85+D$89+D$91)</f>
        <v>56.448717948717956</v>
      </c>
      <c r="F91" s="37"/>
      <c r="G91" s="80"/>
      <c r="H91" s="18"/>
      <c r="I91" s="76"/>
      <c r="J91" s="18"/>
      <c r="K91" s="18"/>
      <c r="L91" s="18"/>
      <c r="M91" s="18"/>
      <c r="N91" s="18"/>
      <c r="O91" s="77"/>
      <c r="Q91" s="228">
        <f>B91*$I$14</f>
        <v>0.58289951781038019</v>
      </c>
      <c r="R91" s="231">
        <f t="shared" ref="R91:V91" si="100">C91*$I$14</f>
        <v>0.43343810298720575</v>
      </c>
      <c r="S91" s="232">
        <f t="shared" si="100"/>
        <v>0.35621637199523237</v>
      </c>
      <c r="T91" s="232">
        <f t="shared" si="100"/>
        <v>0.27650361742287266</v>
      </c>
      <c r="U91" s="232">
        <f t="shared" si="100"/>
        <v>0</v>
      </c>
      <c r="V91" s="233">
        <f t="shared" si="100"/>
        <v>0</v>
      </c>
      <c r="X91" s="144" t="s">
        <v>9</v>
      </c>
      <c r="Y91" s="55">
        <v>234</v>
      </c>
      <c r="Z91" s="55">
        <v>226</v>
      </c>
      <c r="AA91" s="55">
        <v>220</v>
      </c>
      <c r="AB91" s="57">
        <v>214</v>
      </c>
      <c r="AC91" s="57">
        <v>168</v>
      </c>
      <c r="AD91" s="57">
        <v>126</v>
      </c>
      <c r="AE91" s="57">
        <v>119</v>
      </c>
    </row>
    <row r="92" spans="1:32" x14ac:dyDescent="0.25">
      <c r="A92" s="13" t="s">
        <v>10</v>
      </c>
      <c r="B92" s="86">
        <v>0</v>
      </c>
      <c r="C92" s="70">
        <f>B92</f>
        <v>0</v>
      </c>
      <c r="D92" s="52">
        <f t="shared" ref="D92:E92" si="101">C92</f>
        <v>0</v>
      </c>
      <c r="E92" s="52">
        <f t="shared" si="101"/>
        <v>0</v>
      </c>
      <c r="F92" s="37"/>
      <c r="G92" s="80"/>
      <c r="H92" s="18"/>
      <c r="I92" s="76"/>
      <c r="J92" s="18"/>
      <c r="K92" s="18"/>
      <c r="L92" s="18"/>
      <c r="M92" s="18"/>
      <c r="N92" s="18"/>
      <c r="O92" s="77"/>
      <c r="Q92" s="228">
        <f>B92*$I$11</f>
        <v>0</v>
      </c>
      <c r="R92" s="231">
        <f t="shared" ref="R92:V92" si="102">C92*$I$11</f>
        <v>0</v>
      </c>
      <c r="S92" s="232">
        <f t="shared" si="102"/>
        <v>0</v>
      </c>
      <c r="T92" s="232">
        <f t="shared" si="102"/>
        <v>0</v>
      </c>
      <c r="U92" s="232">
        <f t="shared" si="102"/>
        <v>0</v>
      </c>
      <c r="V92" s="233">
        <f t="shared" si="102"/>
        <v>0</v>
      </c>
      <c r="X92" s="144" t="s">
        <v>10</v>
      </c>
      <c r="Y92" s="55">
        <v>0</v>
      </c>
      <c r="Z92" s="55">
        <v>0</v>
      </c>
      <c r="AA92" s="55">
        <v>0</v>
      </c>
      <c r="AB92" s="57">
        <v>0</v>
      </c>
      <c r="AC92" s="57">
        <v>0</v>
      </c>
      <c r="AD92" s="57">
        <v>0</v>
      </c>
      <c r="AE92" s="57">
        <v>0</v>
      </c>
    </row>
    <row r="93" spans="1:32" x14ac:dyDescent="0.25">
      <c r="A93" s="13" t="s">
        <v>22</v>
      </c>
      <c r="B93" s="86">
        <f t="shared" ref="B93:C93" si="103">SUM(B84:B92)</f>
        <v>32907</v>
      </c>
      <c r="C93" s="51">
        <f t="shared" si="103"/>
        <v>32907</v>
      </c>
      <c r="D93" s="37">
        <f t="shared" ref="D93:E93" si="104">SUM(D84:D92)</f>
        <v>32906.999999999993</v>
      </c>
      <c r="E93" s="37">
        <f t="shared" si="104"/>
        <v>32907</v>
      </c>
      <c r="F93" s="37"/>
      <c r="G93" s="80"/>
      <c r="H93" s="18"/>
      <c r="I93" s="76"/>
      <c r="J93" s="18"/>
      <c r="K93" s="18"/>
      <c r="L93" s="18"/>
      <c r="M93" s="18"/>
      <c r="N93" s="18"/>
      <c r="O93" s="77"/>
      <c r="Q93" s="250">
        <f t="shared" ref="Q93" si="105">SUM(Q84:Q92)</f>
        <v>37.263330363783986</v>
      </c>
      <c r="R93" s="249">
        <f t="shared" ref="R93:V93" si="106">SUM(R84:R92)</f>
        <v>31.581959074803926</v>
      </c>
      <c r="S93" s="251">
        <f t="shared" si="106"/>
        <v>28.646583908830898</v>
      </c>
      <c r="T93" s="251">
        <f t="shared" si="106"/>
        <v>25.616519221374865</v>
      </c>
      <c r="U93" s="251">
        <f t="shared" si="106"/>
        <v>0</v>
      </c>
      <c r="V93" s="255">
        <f t="shared" si="106"/>
        <v>0</v>
      </c>
      <c r="X93" s="144" t="s">
        <v>22</v>
      </c>
      <c r="Y93" s="13">
        <f>SUM(Y84:Y92)</f>
        <v>32247</v>
      </c>
      <c r="Z93">
        <f>SUM(Z84:Z92)</f>
        <v>32430</v>
      </c>
      <c r="AA93">
        <f>SUM(AA84:AA92)</f>
        <v>32713</v>
      </c>
      <c r="AB93">
        <f>SUM(AB84:AB92)</f>
        <v>32782</v>
      </c>
      <c r="AC93">
        <f t="shared" ref="AC93" si="107">SUM(AC84:AC92)</f>
        <v>32876</v>
      </c>
      <c r="AD93" s="126">
        <f>SUM(AD84:AD92)</f>
        <v>32784</v>
      </c>
      <c r="AE93" s="150">
        <f>SUM(AE84:AE92)</f>
        <v>32907</v>
      </c>
    </row>
    <row r="94" spans="1:32" x14ac:dyDescent="0.25">
      <c r="A94" s="14" t="s">
        <v>1</v>
      </c>
      <c r="B94" s="96"/>
      <c r="C94" s="133"/>
      <c r="D94" s="74"/>
      <c r="E94" s="74"/>
      <c r="F94" s="180"/>
      <c r="G94" s="181"/>
      <c r="H94" s="18"/>
      <c r="I94" s="79"/>
      <c r="J94" s="29"/>
      <c r="K94" s="29"/>
      <c r="L94" s="29"/>
      <c r="M94" s="29"/>
      <c r="N94" s="29"/>
      <c r="O94" s="71"/>
      <c r="Q94" s="252">
        <f t="shared" ref="Q94" si="108">Q82+Q93</f>
        <v>135.18555054490611</v>
      </c>
      <c r="R94" s="253">
        <f t="shared" ref="R94:V94" si="109">R82+R93</f>
        <v>116.67456223306985</v>
      </c>
      <c r="S94" s="254">
        <f t="shared" si="109"/>
        <v>105.73101696036522</v>
      </c>
      <c r="T94" s="254">
        <f t="shared" si="109"/>
        <v>94.785269965626895</v>
      </c>
      <c r="U94" s="254">
        <f t="shared" si="109"/>
        <v>0</v>
      </c>
      <c r="V94" s="256">
        <f t="shared" si="109"/>
        <v>0</v>
      </c>
      <c r="X94" s="145"/>
      <c r="Y94" s="14"/>
      <c r="Z94" s="15"/>
      <c r="AA94" s="15"/>
      <c r="AB94" s="15"/>
      <c r="AC94" s="15"/>
      <c r="AD94" s="15"/>
      <c r="AE94" s="99"/>
    </row>
    <row r="95" spans="1:32" x14ac:dyDescent="0.25">
      <c r="Q95" s="4"/>
      <c r="R95" s="4"/>
      <c r="S95" s="4"/>
      <c r="T95" s="4"/>
      <c r="U95" s="4"/>
      <c r="V95" s="4"/>
      <c r="X95" s="41"/>
    </row>
    <row r="96" spans="1:32" x14ac:dyDescent="0.25">
      <c r="A96" s="9" t="s">
        <v>97</v>
      </c>
      <c r="B96" s="97" t="s">
        <v>56</v>
      </c>
      <c r="C96" s="294" t="s">
        <v>72</v>
      </c>
      <c r="D96" s="295"/>
      <c r="E96" s="295"/>
      <c r="F96" s="295"/>
      <c r="G96" s="296"/>
      <c r="I96" s="187" t="s">
        <v>84</v>
      </c>
      <c r="J96" s="16"/>
      <c r="K96" s="16"/>
      <c r="L96" s="16"/>
      <c r="M96" s="16"/>
      <c r="N96" s="16"/>
      <c r="O96" s="23"/>
      <c r="Q96" s="294" t="s">
        <v>52</v>
      </c>
      <c r="R96" s="295"/>
      <c r="S96" s="295"/>
      <c r="T96" s="295"/>
      <c r="U96" s="295"/>
      <c r="V96" s="296"/>
      <c r="X96" s="142" t="s">
        <v>23</v>
      </c>
      <c r="Y96" s="103" t="s">
        <v>35</v>
      </c>
      <c r="Z96" s="40" t="s">
        <v>35</v>
      </c>
      <c r="AA96" s="40" t="s">
        <v>35</v>
      </c>
      <c r="AB96" s="40" t="s">
        <v>35</v>
      </c>
      <c r="AC96" s="40" t="s">
        <v>35</v>
      </c>
      <c r="AD96" s="40" t="s">
        <v>35</v>
      </c>
      <c r="AE96" s="104" t="s">
        <v>35</v>
      </c>
    </row>
    <row r="97" spans="1:32" x14ac:dyDescent="0.25">
      <c r="A97" s="11" t="s">
        <v>19</v>
      </c>
      <c r="B97" s="93">
        <v>2024</v>
      </c>
      <c r="C97" s="50">
        <v>2025</v>
      </c>
      <c r="D97" s="91">
        <v>2026</v>
      </c>
      <c r="E97" s="91">
        <v>2027</v>
      </c>
      <c r="F97" s="91">
        <v>2028</v>
      </c>
      <c r="G97" s="25">
        <v>2029</v>
      </c>
      <c r="H97" s="6"/>
      <c r="I97" s="50">
        <v>2025</v>
      </c>
      <c r="J97" s="91">
        <v>2026</v>
      </c>
      <c r="K97" s="91">
        <v>2027</v>
      </c>
      <c r="L97" s="91">
        <v>2028</v>
      </c>
      <c r="M97" s="91">
        <v>2029</v>
      </c>
      <c r="N97" s="6"/>
      <c r="O97" s="12"/>
      <c r="Q97" s="90">
        <v>2024</v>
      </c>
      <c r="R97" s="67">
        <v>2025</v>
      </c>
      <c r="S97" s="68">
        <v>2026</v>
      </c>
      <c r="T97" s="68">
        <v>2027</v>
      </c>
      <c r="U97" s="68">
        <v>2028</v>
      </c>
      <c r="V97" s="69">
        <v>2029</v>
      </c>
      <c r="X97" s="143" t="s">
        <v>19</v>
      </c>
      <c r="Y97" s="105">
        <v>2018</v>
      </c>
      <c r="Z97" s="106">
        <v>2019</v>
      </c>
      <c r="AA97" s="106">
        <v>2020</v>
      </c>
      <c r="AB97" s="106">
        <v>2021</v>
      </c>
      <c r="AC97" s="106">
        <v>2022</v>
      </c>
      <c r="AD97" s="106">
        <v>2023</v>
      </c>
      <c r="AE97" s="107">
        <v>2024</v>
      </c>
    </row>
    <row r="98" spans="1:32" x14ac:dyDescent="0.25">
      <c r="A98" s="13" t="s">
        <v>2</v>
      </c>
      <c r="B98" s="94">
        <v>2.77</v>
      </c>
      <c r="C98" s="60">
        <f>B98-I$101</f>
        <v>2.40466669</v>
      </c>
      <c r="D98" s="34">
        <f>C98-J$101</f>
        <v>1.6149103899999999</v>
      </c>
      <c r="E98" s="34">
        <f>D98-K$101</f>
        <v>1.2885914199999999</v>
      </c>
      <c r="F98" s="34">
        <f>E98-L$101</f>
        <v>0.66038478999999994</v>
      </c>
      <c r="G98" s="61">
        <f>F98-M$101</f>
        <v>0.47743404999999994</v>
      </c>
      <c r="H98" s="27"/>
      <c r="I98" s="201">
        <v>4.7205457500000003</v>
      </c>
      <c r="J98" s="202">
        <v>3.8417761499999998</v>
      </c>
      <c r="K98" s="202">
        <v>5.3570855399999999</v>
      </c>
      <c r="L98" s="202">
        <v>3.5476534800000001</v>
      </c>
      <c r="M98" s="202">
        <v>3.2970905099999999</v>
      </c>
      <c r="N98" s="6" t="s">
        <v>25</v>
      </c>
      <c r="O98" s="77"/>
      <c r="Q98" s="228">
        <f>B98*$I$7</f>
        <v>2.3858692125169427</v>
      </c>
      <c r="R98" s="231">
        <f t="shared" ref="R98:V99" si="110">C98*$I$7</f>
        <v>2.0711986361140875</v>
      </c>
      <c r="S98" s="232">
        <f t="shared" si="110"/>
        <v>1.3909620868139814</v>
      </c>
      <c r="T98" s="232">
        <f t="shared" si="110"/>
        <v>1.1098955221990934</v>
      </c>
      <c r="U98" s="232">
        <f t="shared" si="110"/>
        <v>0.56880568190450054</v>
      </c>
      <c r="V98" s="233">
        <f t="shared" si="110"/>
        <v>0.41122570429684996</v>
      </c>
      <c r="X98" s="144" t="s">
        <v>2</v>
      </c>
      <c r="Y98" s="54">
        <v>5.53</v>
      </c>
      <c r="Z98" s="54">
        <v>5.42</v>
      </c>
      <c r="AA98" s="54">
        <v>4.6843371148207043</v>
      </c>
      <c r="AB98" s="58">
        <v>3.794</v>
      </c>
      <c r="AC98" s="56">
        <v>3.3</v>
      </c>
      <c r="AD98" s="42">
        <v>2.9167606287878787</v>
      </c>
      <c r="AE98" s="42">
        <v>2.77</v>
      </c>
    </row>
    <row r="99" spans="1:32" x14ac:dyDescent="0.25">
      <c r="A99" s="13" t="s">
        <v>3</v>
      </c>
      <c r="B99" s="94">
        <v>3.56</v>
      </c>
      <c r="C99" s="60">
        <f>B99-I$102</f>
        <v>3.1537584500000002</v>
      </c>
      <c r="D99" s="34">
        <f>C99-J$102</f>
        <v>2.7094495100000002</v>
      </c>
      <c r="E99" s="34">
        <f>D99-K$102</f>
        <v>2.4768785900000001</v>
      </c>
      <c r="F99" s="34">
        <f>E99-L$102</f>
        <v>7.9373000000027005E-4</v>
      </c>
      <c r="G99" s="272">
        <f>F99-M$102</f>
        <v>-0.10356015999999973</v>
      </c>
      <c r="H99" s="27"/>
      <c r="I99" s="193">
        <v>0</v>
      </c>
      <c r="J99" s="194">
        <v>0</v>
      </c>
      <c r="K99" s="194">
        <v>0</v>
      </c>
      <c r="L99" s="194">
        <v>0.15113322000000001</v>
      </c>
      <c r="M99" s="194">
        <v>0</v>
      </c>
      <c r="N99" s="6" t="s">
        <v>27</v>
      </c>
      <c r="O99" s="12"/>
      <c r="Q99" s="228">
        <f>B99*$I$7</f>
        <v>3.0663156666282729</v>
      </c>
      <c r="R99" s="231">
        <f t="shared" si="110"/>
        <v>2.7164098157292975</v>
      </c>
      <c r="S99" s="232">
        <f t="shared" si="110"/>
        <v>2.3337155843964319</v>
      </c>
      <c r="T99" s="232">
        <f t="shared" si="110"/>
        <v>2.1333965238351533</v>
      </c>
      <c r="U99" s="232">
        <f t="shared" si="110"/>
        <v>6.8365919496451879E-4</v>
      </c>
      <c r="V99" s="233">
        <f t="shared" si="110"/>
        <v>-8.9198916024306116E-2</v>
      </c>
      <c r="X99" s="144" t="s">
        <v>3</v>
      </c>
      <c r="Y99" s="54">
        <v>0</v>
      </c>
      <c r="Z99" s="54">
        <v>0</v>
      </c>
      <c r="AA99" s="54">
        <v>6.659805827091442</v>
      </c>
      <c r="AB99" s="58">
        <v>5.4914000000000005</v>
      </c>
      <c r="AC99" s="56">
        <v>4.66</v>
      </c>
      <c r="AD99" s="42">
        <v>3.6604868181818193</v>
      </c>
      <c r="AE99" s="42">
        <v>3.56</v>
      </c>
    </row>
    <row r="100" spans="1:32" x14ac:dyDescent="0.25">
      <c r="A100" s="13" t="s">
        <v>4</v>
      </c>
      <c r="B100" s="94">
        <v>0</v>
      </c>
      <c r="C100" s="60">
        <f t="shared" ref="C100:C101" si="111">B100</f>
        <v>0</v>
      </c>
      <c r="D100" s="34">
        <f t="shared" ref="D100:D101" si="112">C100</f>
        <v>0</v>
      </c>
      <c r="E100" s="34">
        <f t="shared" ref="E100:E101" si="113">D100</f>
        <v>0</v>
      </c>
      <c r="F100" s="34">
        <f t="shared" ref="F100:F101" si="114">E100</f>
        <v>0</v>
      </c>
      <c r="G100" s="61">
        <f t="shared" ref="G100:G101" si="115">F100</f>
        <v>0</v>
      </c>
      <c r="H100" s="27"/>
      <c r="I100" s="193">
        <v>0</v>
      </c>
      <c r="J100" s="194">
        <v>9.5452560000000006E-2</v>
      </c>
      <c r="K100" s="194">
        <v>0</v>
      </c>
      <c r="L100" s="194">
        <v>0</v>
      </c>
      <c r="M100" s="194">
        <v>0</v>
      </c>
      <c r="N100" s="6" t="s">
        <v>29</v>
      </c>
      <c r="O100" s="12"/>
      <c r="Q100" s="228">
        <f>B100*$I$8</f>
        <v>0</v>
      </c>
      <c r="R100" s="231">
        <f t="shared" ref="R100:V101" si="116">C100*$I$8</f>
        <v>0</v>
      </c>
      <c r="S100" s="232">
        <f t="shared" si="116"/>
        <v>0</v>
      </c>
      <c r="T100" s="232">
        <f t="shared" si="116"/>
        <v>0</v>
      </c>
      <c r="U100" s="232">
        <f t="shared" si="116"/>
        <v>0</v>
      </c>
      <c r="V100" s="233">
        <f t="shared" si="116"/>
        <v>0</v>
      </c>
      <c r="X100" s="179" t="s">
        <v>4</v>
      </c>
      <c r="Y100" s="54">
        <v>0.19</v>
      </c>
      <c r="Z100" s="54">
        <v>0.19</v>
      </c>
      <c r="AA100" s="54">
        <v>0.19147057309564394</v>
      </c>
      <c r="AB100" s="58">
        <v>0</v>
      </c>
      <c r="AC100" s="56">
        <v>0</v>
      </c>
      <c r="AD100" s="42">
        <v>0</v>
      </c>
      <c r="AE100" s="42">
        <v>0</v>
      </c>
    </row>
    <row r="101" spans="1:32" x14ac:dyDescent="0.25">
      <c r="A101" s="13" t="s">
        <v>5</v>
      </c>
      <c r="B101" s="94">
        <v>112.66</v>
      </c>
      <c r="C101" s="60">
        <f t="shared" si="111"/>
        <v>112.66</v>
      </c>
      <c r="D101" s="34">
        <f t="shared" si="112"/>
        <v>112.66</v>
      </c>
      <c r="E101" s="34">
        <f t="shared" si="113"/>
        <v>112.66</v>
      </c>
      <c r="F101" s="34">
        <f t="shared" si="114"/>
        <v>112.66</v>
      </c>
      <c r="G101" s="61">
        <f t="shared" si="115"/>
        <v>112.66</v>
      </c>
      <c r="H101" s="27"/>
      <c r="I101" s="201">
        <v>0.36533331000000002</v>
      </c>
      <c r="J101" s="202">
        <v>0.78975629999999997</v>
      </c>
      <c r="K101" s="202">
        <v>0.32631896999999999</v>
      </c>
      <c r="L101" s="202">
        <v>0.62820662999999999</v>
      </c>
      <c r="M101" s="202">
        <v>0.18295074</v>
      </c>
      <c r="N101" s="6" t="s">
        <v>49</v>
      </c>
      <c r="O101" s="12"/>
      <c r="Q101" s="228">
        <f>B101*$I$8</f>
        <v>10.899733173509713</v>
      </c>
      <c r="R101" s="231">
        <f t="shared" si="116"/>
        <v>10.899733173509713</v>
      </c>
      <c r="S101" s="232">
        <f t="shared" si="116"/>
        <v>10.899733173509713</v>
      </c>
      <c r="T101" s="232">
        <f t="shared" si="116"/>
        <v>10.899733173509713</v>
      </c>
      <c r="U101" s="232">
        <f t="shared" si="116"/>
        <v>10.899733173509713</v>
      </c>
      <c r="V101" s="233">
        <f t="shared" si="116"/>
        <v>10.899733173509713</v>
      </c>
      <c r="X101" s="144" t="s">
        <v>5</v>
      </c>
      <c r="Y101" s="54">
        <v>123.27</v>
      </c>
      <c r="Z101" s="54">
        <v>122.6</v>
      </c>
      <c r="AA101" s="54">
        <v>115.38077061464712</v>
      </c>
      <c r="AB101" s="58">
        <v>114.24199999999999</v>
      </c>
      <c r="AC101" s="56">
        <v>114.28</v>
      </c>
      <c r="AD101" s="42">
        <v>113.32388033712127</v>
      </c>
      <c r="AE101" s="42">
        <v>112.66</v>
      </c>
    </row>
    <row r="102" spans="1:32" x14ac:dyDescent="0.25">
      <c r="A102" s="13" t="s">
        <v>6</v>
      </c>
      <c r="B102" s="94">
        <v>128.22999999999999</v>
      </c>
      <c r="C102" s="60">
        <f>B102+I98+I99+I100+I101+I106+I102</f>
        <v>133.72212061000002</v>
      </c>
      <c r="D102" s="34">
        <f t="shared" ref="D102:G102" si="117">C102+J98+J99+J100+J101+J106+J102</f>
        <v>138.89341456000002</v>
      </c>
      <c r="E102" s="34">
        <f t="shared" si="117"/>
        <v>144.80938999</v>
      </c>
      <c r="F102" s="34">
        <f t="shared" si="117"/>
        <v>151.61246817999998</v>
      </c>
      <c r="G102" s="61">
        <f t="shared" si="117"/>
        <v>155.19686331999998</v>
      </c>
      <c r="H102" s="27"/>
      <c r="I102" s="201">
        <v>0.40624155000000001</v>
      </c>
      <c r="J102" s="202">
        <v>0.44430893999999999</v>
      </c>
      <c r="K102" s="202">
        <v>0.23257092000000001</v>
      </c>
      <c r="L102" s="202">
        <v>2.4760848599999998</v>
      </c>
      <c r="M102" s="202">
        <v>0.10435389</v>
      </c>
      <c r="N102" s="6" t="s">
        <v>50</v>
      </c>
      <c r="O102" s="77"/>
      <c r="Q102" s="228">
        <f>B102*$I$9</f>
        <v>3.6990965026323304</v>
      </c>
      <c r="R102" s="231">
        <f t="shared" ref="R102:V102" si="118">C102*$I$9</f>
        <v>3.8575296628950309</v>
      </c>
      <c r="S102" s="232">
        <f t="shared" si="118"/>
        <v>4.0067078221754544</v>
      </c>
      <c r="T102" s="232">
        <f t="shared" si="118"/>
        <v>4.1773680734643239</v>
      </c>
      <c r="U102" s="232">
        <f t="shared" si="118"/>
        <v>4.3736188941752587</v>
      </c>
      <c r="V102" s="233">
        <f t="shared" si="118"/>
        <v>4.4770192180185591</v>
      </c>
      <c r="X102" s="144" t="s">
        <v>6</v>
      </c>
      <c r="Y102" s="54">
        <v>98.57</v>
      </c>
      <c r="Z102" s="54">
        <v>102.23</v>
      </c>
      <c r="AA102" s="54">
        <v>107.45759524538325</v>
      </c>
      <c r="AB102" s="58">
        <v>112.843</v>
      </c>
      <c r="AC102" s="56">
        <v>117.85</v>
      </c>
      <c r="AD102" s="42">
        <v>123.33559254166667</v>
      </c>
      <c r="AE102" s="42">
        <v>128.22999999999999</v>
      </c>
    </row>
    <row r="103" spans="1:32" x14ac:dyDescent="0.25">
      <c r="A103" s="13" t="s">
        <v>7</v>
      </c>
      <c r="B103" s="94">
        <v>20.94</v>
      </c>
      <c r="C103" s="60">
        <f>B103-I$98-I$100</f>
        <v>16.219454250000002</v>
      </c>
      <c r="D103" s="34">
        <f>C103-J$98-J$100</f>
        <v>12.282225540000002</v>
      </c>
      <c r="E103" s="34">
        <f>D103-K$98-K$100</f>
        <v>6.9251400000000025</v>
      </c>
      <c r="F103" s="34">
        <f>E103-L$98-L$100</f>
        <v>3.3774865200000024</v>
      </c>
      <c r="G103" s="61">
        <f>F103-M$98-M$100</f>
        <v>8.0396010000002516E-2</v>
      </c>
      <c r="H103" s="27"/>
      <c r="I103" s="39">
        <v>304</v>
      </c>
      <c r="J103" s="188">
        <v>235</v>
      </c>
      <c r="K103" s="188">
        <v>284</v>
      </c>
      <c r="L103" s="188">
        <v>311</v>
      </c>
      <c r="M103" s="188">
        <v>221</v>
      </c>
      <c r="N103" s="6" t="s">
        <v>11</v>
      </c>
      <c r="O103" s="12"/>
      <c r="Q103" s="228">
        <f>B103*$I$6</f>
        <v>24.233195456327099</v>
      </c>
      <c r="R103" s="231">
        <f t="shared" ref="R103:V105" si="119">C103*$I$6</f>
        <v>18.770258120114867</v>
      </c>
      <c r="S103" s="232">
        <f t="shared" si="119"/>
        <v>14.213828660435182</v>
      </c>
      <c r="T103" s="232">
        <f t="shared" si="119"/>
        <v>8.014244087030999</v>
      </c>
      <c r="U103" s="232">
        <f t="shared" si="119"/>
        <v>3.9086576404140438</v>
      </c>
      <c r="V103" s="233">
        <f t="shared" si="119"/>
        <v>9.3039743277883905E-2</v>
      </c>
      <c r="X103" s="144" t="s">
        <v>7</v>
      </c>
      <c r="Y103" s="54">
        <v>44.41</v>
      </c>
      <c r="Z103" s="54">
        <v>40.799999999999997</v>
      </c>
      <c r="AA103" s="54">
        <v>37.578917069234173</v>
      </c>
      <c r="AB103" s="58">
        <v>34.465899999999998</v>
      </c>
      <c r="AC103" s="56">
        <v>30.42</v>
      </c>
      <c r="AD103" s="42">
        <v>27.264737090909104</v>
      </c>
      <c r="AE103" s="42">
        <v>20.94</v>
      </c>
    </row>
    <row r="104" spans="1:32" x14ac:dyDescent="0.25">
      <c r="A104" s="13" t="s">
        <v>8</v>
      </c>
      <c r="B104" s="94">
        <v>0.26</v>
      </c>
      <c r="C104" s="60">
        <f>B104-I99</f>
        <v>0.26</v>
      </c>
      <c r="D104" s="34">
        <f t="shared" ref="D104:G104" si="120">C104-J99</f>
        <v>0.26</v>
      </c>
      <c r="E104" s="34">
        <f t="shared" si="120"/>
        <v>0.26</v>
      </c>
      <c r="F104" s="34">
        <f t="shared" si="120"/>
        <v>0.10886678</v>
      </c>
      <c r="G104" s="61">
        <f t="shared" si="120"/>
        <v>0.10886678</v>
      </c>
      <c r="H104" s="18"/>
      <c r="I104" s="39"/>
      <c r="J104" s="6"/>
      <c r="K104" s="6"/>
      <c r="L104" s="6"/>
      <c r="M104" s="207"/>
      <c r="N104" s="6"/>
      <c r="O104" s="12"/>
      <c r="Q104" s="228">
        <f>B104*$I$6</f>
        <v>0.3008897239085504</v>
      </c>
      <c r="R104" s="231">
        <f t="shared" si="119"/>
        <v>0.3008897239085504</v>
      </c>
      <c r="S104" s="232">
        <f t="shared" si="119"/>
        <v>0.3008897239085504</v>
      </c>
      <c r="T104" s="232">
        <f t="shared" si="119"/>
        <v>0.3008897239085504</v>
      </c>
      <c r="U104" s="232">
        <f t="shared" si="119"/>
        <v>0.12598805914235731</v>
      </c>
      <c r="V104" s="233">
        <f t="shared" si="119"/>
        <v>0.12598805914235731</v>
      </c>
      <c r="X104" s="144" t="s">
        <v>8</v>
      </c>
      <c r="Y104" s="54">
        <v>1.36</v>
      </c>
      <c r="Z104" s="54">
        <v>1.47</v>
      </c>
      <c r="AA104" s="54">
        <v>1.0969599022732197</v>
      </c>
      <c r="AB104" s="58">
        <v>1.0709999999999997</v>
      </c>
      <c r="AC104" s="56">
        <v>0.74</v>
      </c>
      <c r="AD104" s="42">
        <v>0.48560296969696964</v>
      </c>
      <c r="AE104" s="42">
        <v>0.26</v>
      </c>
    </row>
    <row r="105" spans="1:32" x14ac:dyDescent="0.25">
      <c r="A105" s="13" t="s">
        <v>9</v>
      </c>
      <c r="B105" s="94">
        <v>0</v>
      </c>
      <c r="C105" s="60">
        <v>0</v>
      </c>
      <c r="D105" s="34">
        <v>0</v>
      </c>
      <c r="E105" s="34">
        <v>0</v>
      </c>
      <c r="F105" s="34">
        <v>0</v>
      </c>
      <c r="G105" s="61">
        <v>0</v>
      </c>
      <c r="H105" s="18"/>
      <c r="I105" s="39" t="s">
        <v>64</v>
      </c>
      <c r="J105" s="6"/>
      <c r="K105" s="6"/>
      <c r="L105" s="6"/>
      <c r="M105" s="6"/>
      <c r="N105" s="6"/>
      <c r="O105" s="12"/>
      <c r="Q105" s="228">
        <f>B105*$I$6</f>
        <v>0</v>
      </c>
      <c r="R105" s="231">
        <f t="shared" si="119"/>
        <v>0</v>
      </c>
      <c r="S105" s="232">
        <f t="shared" si="119"/>
        <v>0</v>
      </c>
      <c r="T105" s="232">
        <f t="shared" si="119"/>
        <v>0</v>
      </c>
      <c r="U105" s="232">
        <f t="shared" si="119"/>
        <v>0</v>
      </c>
      <c r="V105" s="233">
        <f t="shared" si="119"/>
        <v>0</v>
      </c>
      <c r="X105" s="144" t="s">
        <v>9</v>
      </c>
      <c r="Y105" s="54">
        <v>0</v>
      </c>
      <c r="Z105" s="54">
        <v>0</v>
      </c>
      <c r="AA105" s="54">
        <v>0</v>
      </c>
      <c r="AB105" s="58">
        <v>0</v>
      </c>
      <c r="AC105" s="56">
        <v>0</v>
      </c>
      <c r="AD105" s="42">
        <v>0</v>
      </c>
      <c r="AE105" s="42">
        <v>0</v>
      </c>
    </row>
    <row r="106" spans="1:32" x14ac:dyDescent="0.25">
      <c r="A106" s="13" t="s">
        <v>10</v>
      </c>
      <c r="B106" s="94">
        <v>0</v>
      </c>
      <c r="C106" s="60">
        <v>0</v>
      </c>
      <c r="D106" s="34">
        <v>0</v>
      </c>
      <c r="E106" s="34">
        <v>0</v>
      </c>
      <c r="F106" s="34">
        <v>0</v>
      </c>
      <c r="G106" s="61">
        <v>0</v>
      </c>
      <c r="H106" s="18"/>
      <c r="I106" s="190">
        <v>0</v>
      </c>
      <c r="J106" s="188">
        <v>0</v>
      </c>
      <c r="K106" s="188">
        <v>0</v>
      </c>
      <c r="L106" s="188">
        <v>0</v>
      </c>
      <c r="M106" s="188">
        <v>0</v>
      </c>
      <c r="N106" s="6" t="s">
        <v>12</v>
      </c>
      <c r="O106" s="12"/>
      <c r="Q106" s="228">
        <f>B106*$I$7</f>
        <v>0</v>
      </c>
      <c r="R106" s="231">
        <f t="shared" ref="R106:V106" si="121">C106*$I$7</f>
        <v>0</v>
      </c>
      <c r="S106" s="232">
        <f t="shared" si="121"/>
        <v>0</v>
      </c>
      <c r="T106" s="232">
        <f t="shared" si="121"/>
        <v>0</v>
      </c>
      <c r="U106" s="232">
        <f t="shared" si="121"/>
        <v>0</v>
      </c>
      <c r="V106" s="233">
        <f t="shared" si="121"/>
        <v>0</v>
      </c>
      <c r="X106" s="144" t="s">
        <v>10</v>
      </c>
      <c r="Y106" s="54">
        <v>0</v>
      </c>
      <c r="Z106" s="54">
        <v>0</v>
      </c>
      <c r="AA106" s="54">
        <v>0</v>
      </c>
      <c r="AB106" s="58">
        <v>0</v>
      </c>
      <c r="AC106" s="56">
        <v>0</v>
      </c>
      <c r="AD106" s="42">
        <v>0</v>
      </c>
      <c r="AE106" s="42">
        <v>0</v>
      </c>
    </row>
    <row r="107" spans="1:32" x14ac:dyDescent="0.25">
      <c r="A107" s="13" t="s">
        <v>21</v>
      </c>
      <c r="B107" s="94">
        <f t="shared" ref="B107:G107" si="122">SUM(B98:B106)</f>
        <v>268.41999999999996</v>
      </c>
      <c r="C107" s="60">
        <f t="shared" si="122"/>
        <v>268.42</v>
      </c>
      <c r="D107" s="34">
        <f t="shared" si="122"/>
        <v>268.42</v>
      </c>
      <c r="E107" s="34">
        <f t="shared" si="122"/>
        <v>268.42</v>
      </c>
      <c r="F107" s="34">
        <f t="shared" si="122"/>
        <v>268.42</v>
      </c>
      <c r="G107" s="61">
        <f t="shared" si="122"/>
        <v>268.42</v>
      </c>
      <c r="H107" s="18"/>
      <c r="I107" s="190">
        <v>0</v>
      </c>
      <c r="J107" s="188">
        <v>0</v>
      </c>
      <c r="K107" s="188">
        <v>0</v>
      </c>
      <c r="L107" s="188">
        <v>0</v>
      </c>
      <c r="M107" s="188">
        <v>0</v>
      </c>
      <c r="N107" s="6" t="s">
        <v>11</v>
      </c>
      <c r="O107" s="12"/>
      <c r="Q107" s="228">
        <f t="shared" ref="Q107:V107" si="123">SUM(Q98:Q106)</f>
        <v>44.58509973552291</v>
      </c>
      <c r="R107" s="231">
        <f t="shared" si="123"/>
        <v>38.616019132271539</v>
      </c>
      <c r="S107" s="232">
        <f t="shared" si="123"/>
        <v>33.145837051239312</v>
      </c>
      <c r="T107" s="232">
        <f t="shared" si="123"/>
        <v>26.635527103947833</v>
      </c>
      <c r="U107" s="232">
        <f t="shared" si="123"/>
        <v>19.877487108340841</v>
      </c>
      <c r="V107" s="233">
        <f t="shared" si="123"/>
        <v>15.917806982221059</v>
      </c>
      <c r="X107" s="144" t="s">
        <v>21</v>
      </c>
      <c r="Y107" s="146">
        <f>SUM(Y98:Y106)</f>
        <v>273.33000000000004</v>
      </c>
      <c r="Z107" s="147">
        <f>SUM(Z98:Z106)</f>
        <v>272.71000000000004</v>
      </c>
      <c r="AA107" s="3">
        <f>SUM(AA98:AA106)</f>
        <v>273.0498563465456</v>
      </c>
      <c r="AB107" s="147">
        <f t="shared" ref="AB107:AC107" si="124">SUM(AB98:AB106)</f>
        <v>271.90730000000002</v>
      </c>
      <c r="AC107" s="147">
        <f t="shared" si="124"/>
        <v>271.25</v>
      </c>
      <c r="AD107" s="147">
        <f>SUM(AD98:AD106)</f>
        <v>270.98706038636368</v>
      </c>
      <c r="AE107" s="148">
        <f>SUM(AE98:AE106)</f>
        <v>268.41999999999996</v>
      </c>
    </row>
    <row r="108" spans="1:32" x14ac:dyDescent="0.25">
      <c r="A108" s="11" t="s">
        <v>20</v>
      </c>
      <c r="B108" s="95"/>
      <c r="C108" s="62"/>
      <c r="D108" s="92"/>
      <c r="E108" s="92"/>
      <c r="F108" s="92"/>
      <c r="G108" s="63"/>
      <c r="H108" s="18"/>
      <c r="I108" s="209"/>
      <c r="J108" s="6"/>
      <c r="K108" s="6"/>
      <c r="L108" s="6"/>
      <c r="M108" s="6"/>
      <c r="N108" s="6"/>
      <c r="O108" s="12"/>
      <c r="Q108" s="228"/>
      <c r="R108" s="231"/>
      <c r="S108" s="232"/>
      <c r="T108" s="232"/>
      <c r="U108" s="232"/>
      <c r="V108" s="233"/>
      <c r="X108" s="143" t="s">
        <v>20</v>
      </c>
      <c r="Y108" s="146"/>
      <c r="Z108" s="3"/>
      <c r="AA108" s="3"/>
      <c r="AB108" s="3"/>
      <c r="AC108" s="3"/>
      <c r="AD108" s="3"/>
      <c r="AE108" s="149"/>
      <c r="AF108" s="3"/>
    </row>
    <row r="109" spans="1:32" x14ac:dyDescent="0.25">
      <c r="A109" s="13" t="s">
        <v>2</v>
      </c>
      <c r="B109" s="86">
        <v>677</v>
      </c>
      <c r="C109" s="66">
        <f t="shared" ref="C109:G110" si="125">B109-I$103*B109/(B$109+B$110+B$112)</f>
        <v>604.17338995045998</v>
      </c>
      <c r="D109" s="34">
        <f t="shared" si="125"/>
        <v>547.87650389242742</v>
      </c>
      <c r="E109" s="34">
        <f t="shared" si="125"/>
        <v>479.84111818825193</v>
      </c>
      <c r="F109" s="34">
        <f t="shared" si="125"/>
        <v>405.33757961783436</v>
      </c>
      <c r="G109" s="61">
        <f t="shared" si="125"/>
        <v>352.39455060155694</v>
      </c>
      <c r="H109" s="18"/>
      <c r="I109" s="39"/>
      <c r="J109" s="6"/>
      <c r="K109" s="6"/>
      <c r="L109" s="6"/>
      <c r="M109" s="6"/>
      <c r="N109" s="6"/>
      <c r="O109" s="12"/>
      <c r="Q109" s="228">
        <f>B109*$I$11</f>
        <v>9.8074671006201211</v>
      </c>
      <c r="R109" s="231">
        <f t="shared" ref="R109:V110" si="126">C109*$I$11</f>
        <v>8.7524529468379146</v>
      </c>
      <c r="S109" s="232">
        <f t="shared" si="126"/>
        <v>7.9368992424339053</v>
      </c>
      <c r="T109" s="232">
        <f t="shared" si="126"/>
        <v>6.9512939145584225</v>
      </c>
      <c r="U109" s="232">
        <f t="shared" si="126"/>
        <v>5.8719866717088625</v>
      </c>
      <c r="V109" s="233">
        <f t="shared" si="126"/>
        <v>5.1050191454395604</v>
      </c>
      <c r="X109" s="144" t="s">
        <v>2</v>
      </c>
      <c r="Y109" s="55">
        <v>1684</v>
      </c>
      <c r="Z109" s="55">
        <v>1493</v>
      </c>
      <c r="AA109" s="55">
        <v>1310</v>
      </c>
      <c r="AB109" s="54">
        <v>1212</v>
      </c>
      <c r="AC109" s="57">
        <v>1044</v>
      </c>
      <c r="AD109" s="57">
        <v>872</v>
      </c>
      <c r="AE109" s="57">
        <v>677</v>
      </c>
    </row>
    <row r="110" spans="1:32" x14ac:dyDescent="0.25">
      <c r="A110" s="13" t="s">
        <v>3</v>
      </c>
      <c r="B110" s="86">
        <v>75</v>
      </c>
      <c r="C110" s="66">
        <f t="shared" si="125"/>
        <v>66.932059447983022</v>
      </c>
      <c r="D110" s="34">
        <f t="shared" si="125"/>
        <v>60.69532908704884</v>
      </c>
      <c r="E110" s="34">
        <f t="shared" si="125"/>
        <v>53.158174097664549</v>
      </c>
      <c r="F110" s="34">
        <f t="shared" si="125"/>
        <v>44.904458598726123</v>
      </c>
      <c r="G110" s="61">
        <f t="shared" si="125"/>
        <v>39.039278131634831</v>
      </c>
      <c r="H110" s="18"/>
      <c r="I110" s="210"/>
      <c r="J110" s="6"/>
      <c r="K110" s="6"/>
      <c r="L110" s="6"/>
      <c r="M110" s="6"/>
      <c r="N110" s="6"/>
      <c r="O110" s="12"/>
      <c r="Q110" s="228">
        <f>B110*$I$11</f>
        <v>1.08649930952217</v>
      </c>
      <c r="R110" s="231">
        <f t="shared" si="126"/>
        <v>0.96962181833507188</v>
      </c>
      <c r="S110" s="232">
        <f t="shared" si="126"/>
        <v>0.87927244192399268</v>
      </c>
      <c r="T110" s="232">
        <f t="shared" si="126"/>
        <v>0.77008425936762448</v>
      </c>
      <c r="U110" s="232">
        <f t="shared" si="126"/>
        <v>0.65051551015977072</v>
      </c>
      <c r="V110" s="233">
        <f t="shared" si="126"/>
        <v>0.56554864979020258</v>
      </c>
      <c r="X110" s="144" t="s">
        <v>3</v>
      </c>
      <c r="Y110" s="55">
        <v>295</v>
      </c>
      <c r="Z110" s="55">
        <v>272</v>
      </c>
      <c r="AA110" s="55">
        <v>210</v>
      </c>
      <c r="AB110" s="54">
        <v>71</v>
      </c>
      <c r="AC110" s="57">
        <v>58</v>
      </c>
      <c r="AD110" s="57">
        <v>55</v>
      </c>
      <c r="AE110" s="57">
        <v>75</v>
      </c>
    </row>
    <row r="111" spans="1:32" x14ac:dyDescent="0.25">
      <c r="A111" s="13" t="s">
        <v>4</v>
      </c>
      <c r="B111" s="86">
        <v>0</v>
      </c>
      <c r="C111" s="66">
        <v>0</v>
      </c>
      <c r="D111" s="34"/>
      <c r="E111" s="34"/>
      <c r="F111" s="34"/>
      <c r="G111" s="61"/>
      <c r="H111" s="18"/>
      <c r="I111" s="76"/>
      <c r="J111" s="18"/>
      <c r="K111" s="18"/>
      <c r="L111" s="18"/>
      <c r="M111" s="18"/>
      <c r="N111" s="18"/>
      <c r="O111" s="12"/>
      <c r="Q111" s="228">
        <f>B111*$I$12</f>
        <v>0</v>
      </c>
      <c r="R111" s="231">
        <f t="shared" ref="R111:V112" si="127">C111*$I$12</f>
        <v>0</v>
      </c>
      <c r="S111" s="232">
        <f t="shared" si="127"/>
        <v>0</v>
      </c>
      <c r="T111" s="232">
        <f t="shared" si="127"/>
        <v>0</v>
      </c>
      <c r="U111" s="232">
        <f t="shared" si="127"/>
        <v>0</v>
      </c>
      <c r="V111" s="233">
        <f t="shared" si="127"/>
        <v>0</v>
      </c>
      <c r="X111" s="179" t="s">
        <v>4</v>
      </c>
      <c r="Y111" s="55">
        <v>0</v>
      </c>
      <c r="Z111" s="59">
        <v>0</v>
      </c>
      <c r="AA111" s="55">
        <v>0</v>
      </c>
      <c r="AB111" s="55">
        <v>0</v>
      </c>
      <c r="AC111" s="57">
        <v>0</v>
      </c>
      <c r="AD111" s="57">
        <v>0</v>
      </c>
      <c r="AE111" s="57">
        <v>0</v>
      </c>
    </row>
    <row r="112" spans="1:32" x14ac:dyDescent="0.25">
      <c r="A112" s="13" t="s">
        <v>5</v>
      </c>
      <c r="B112" s="86">
        <v>2074</v>
      </c>
      <c r="C112" s="66">
        <f>B112-I$103*B112/(B$109+B$110+B$112)</f>
        <v>1850.8945506015571</v>
      </c>
      <c r="D112" s="34">
        <f>C112-J$103*C112/(C$109+C$110+C$112)</f>
        <v>1678.4281670205237</v>
      </c>
      <c r="E112" s="34">
        <f>D112-K$103*D112/(D$109+D$110+D$112)</f>
        <v>1470.0007077140835</v>
      </c>
      <c r="F112" s="34">
        <f>E112-L$103*E112/(E$109+E$110+E$112)</f>
        <v>1241.7579617834394</v>
      </c>
      <c r="G112" s="61">
        <f>F112-M$103*F112/(F$109+F$110+F$112)</f>
        <v>1079.5661712668082</v>
      </c>
      <c r="H112" s="18"/>
      <c r="I112" s="151"/>
      <c r="J112" s="18"/>
      <c r="K112" s="18"/>
      <c r="L112" s="18"/>
      <c r="M112" s="18"/>
      <c r="N112" s="18"/>
      <c r="O112" s="12"/>
      <c r="Q112" s="228">
        <f>B112*$I$12</f>
        <v>2.6863613630671721</v>
      </c>
      <c r="R112" s="231">
        <f t="shared" si="127"/>
        <v>2.3973826460210219</v>
      </c>
      <c r="S112" s="232">
        <f t="shared" si="127"/>
        <v>2.1739944930412678</v>
      </c>
      <c r="T112" s="232">
        <f t="shared" si="127"/>
        <v>1.9040275336955221</v>
      </c>
      <c r="U112" s="232">
        <f t="shared" si="127"/>
        <v>1.6083947014542304</v>
      </c>
      <c r="V112" s="233">
        <f t="shared" si="127"/>
        <v>1.3983147788647594</v>
      </c>
      <c r="X112" s="144" t="s">
        <v>5</v>
      </c>
      <c r="Y112" s="55">
        <v>2041</v>
      </c>
      <c r="Z112" s="59">
        <v>2049</v>
      </c>
      <c r="AA112" s="55">
        <v>2113</v>
      </c>
      <c r="AB112" s="55">
        <v>2166</v>
      </c>
      <c r="AC112" s="57">
        <v>2142</v>
      </c>
      <c r="AD112" s="57">
        <v>2116</v>
      </c>
      <c r="AE112" s="57">
        <v>2074</v>
      </c>
    </row>
    <row r="113" spans="1:31" x14ac:dyDescent="0.25">
      <c r="A113" s="13" t="s">
        <v>6</v>
      </c>
      <c r="B113" s="86">
        <v>8414</v>
      </c>
      <c r="C113" s="60">
        <f>B113+I103+I107</f>
        <v>8718</v>
      </c>
      <c r="D113" s="34">
        <f t="shared" ref="D113:G113" si="128">C113+J103+J107</f>
        <v>8953</v>
      </c>
      <c r="E113" s="34">
        <f t="shared" si="128"/>
        <v>9237</v>
      </c>
      <c r="F113" s="34">
        <f t="shared" si="128"/>
        <v>9548</v>
      </c>
      <c r="G113" s="61">
        <f t="shared" si="128"/>
        <v>9769</v>
      </c>
      <c r="H113" s="18"/>
      <c r="I113" s="124"/>
      <c r="J113" s="125"/>
      <c r="K113" s="18"/>
      <c r="L113" s="18"/>
      <c r="M113" s="18"/>
      <c r="N113" s="18"/>
      <c r="O113" s="12"/>
      <c r="Q113" s="228">
        <f>B113*$I$13</f>
        <v>2.2128315210194982</v>
      </c>
      <c r="R113" s="231">
        <f t="shared" ref="R113:V113" si="129">C113*$I$13</f>
        <v>2.2927816972008537</v>
      </c>
      <c r="S113" s="232">
        <f t="shared" si="129"/>
        <v>2.3545852873410467</v>
      </c>
      <c r="T113" s="232">
        <f t="shared" si="129"/>
        <v>2.4292755835104711</v>
      </c>
      <c r="U113" s="232">
        <f t="shared" si="129"/>
        <v>2.5110667176960026</v>
      </c>
      <c r="V113" s="233">
        <f t="shared" si="129"/>
        <v>2.5691883918278435</v>
      </c>
      <c r="X113" s="144" t="s">
        <v>6</v>
      </c>
      <c r="Y113" s="55">
        <v>7050</v>
      </c>
      <c r="Z113" s="59">
        <v>7306</v>
      </c>
      <c r="AA113" s="55">
        <v>7551</v>
      </c>
      <c r="AB113" s="55">
        <v>7762</v>
      </c>
      <c r="AC113" s="57">
        <v>7998</v>
      </c>
      <c r="AD113" s="57">
        <v>8210</v>
      </c>
      <c r="AE113" s="57">
        <v>8414</v>
      </c>
    </row>
    <row r="114" spans="1:31" x14ac:dyDescent="0.25">
      <c r="A114" s="13" t="s">
        <v>7</v>
      </c>
      <c r="B114" s="86">
        <v>0</v>
      </c>
      <c r="C114" s="60">
        <v>0</v>
      </c>
      <c r="D114" s="34">
        <v>0</v>
      </c>
      <c r="E114" s="34">
        <v>0</v>
      </c>
      <c r="F114" s="34">
        <v>0</v>
      </c>
      <c r="G114" s="61">
        <v>0</v>
      </c>
      <c r="H114" s="18"/>
      <c r="I114" s="152"/>
      <c r="J114" s="153"/>
      <c r="K114" s="18"/>
      <c r="L114" s="18"/>
      <c r="M114" s="18"/>
      <c r="N114" s="18"/>
      <c r="O114" s="12"/>
      <c r="Q114" s="228">
        <f>B114*$I$11</f>
        <v>0</v>
      </c>
      <c r="R114" s="231">
        <f t="shared" ref="R114:V115" si="130">C114*$I$11</f>
        <v>0</v>
      </c>
      <c r="S114" s="232">
        <f t="shared" si="130"/>
        <v>0</v>
      </c>
      <c r="T114" s="232">
        <f t="shared" si="130"/>
        <v>0</v>
      </c>
      <c r="U114" s="232">
        <f t="shared" si="130"/>
        <v>0</v>
      </c>
      <c r="V114" s="233">
        <f t="shared" si="130"/>
        <v>0</v>
      </c>
      <c r="X114" s="144" t="s">
        <v>7</v>
      </c>
      <c r="Y114" s="55">
        <v>0</v>
      </c>
      <c r="Z114" s="59">
        <v>0</v>
      </c>
      <c r="AA114" s="55">
        <v>0</v>
      </c>
      <c r="AB114" s="55">
        <v>0</v>
      </c>
      <c r="AC114" s="57">
        <v>0</v>
      </c>
      <c r="AD114" s="57">
        <v>0</v>
      </c>
      <c r="AE114" s="57">
        <v>0</v>
      </c>
    </row>
    <row r="115" spans="1:31" x14ac:dyDescent="0.25">
      <c r="A115" s="13" t="s">
        <v>8</v>
      </c>
      <c r="B115" s="86">
        <v>0</v>
      </c>
      <c r="C115" s="60">
        <v>0</v>
      </c>
      <c r="D115" s="34">
        <v>0</v>
      </c>
      <c r="E115" s="34">
        <v>0</v>
      </c>
      <c r="F115" s="34">
        <v>0</v>
      </c>
      <c r="G115" s="61">
        <v>0</v>
      </c>
      <c r="H115" s="18"/>
      <c r="I115" s="76"/>
      <c r="J115" s="18"/>
      <c r="K115" s="18"/>
      <c r="L115" s="18"/>
      <c r="M115" s="18"/>
      <c r="N115" s="18"/>
      <c r="O115" s="12"/>
      <c r="Q115" s="228">
        <f>B115*$I$11</f>
        <v>0</v>
      </c>
      <c r="R115" s="231">
        <f t="shared" si="130"/>
        <v>0</v>
      </c>
      <c r="S115" s="232">
        <f t="shared" si="130"/>
        <v>0</v>
      </c>
      <c r="T115" s="232">
        <f t="shared" si="130"/>
        <v>0</v>
      </c>
      <c r="U115" s="232">
        <f t="shared" si="130"/>
        <v>0</v>
      </c>
      <c r="V115" s="233">
        <f t="shared" si="130"/>
        <v>0</v>
      </c>
      <c r="X115" s="144" t="s">
        <v>8</v>
      </c>
      <c r="Y115" s="55">
        <v>0</v>
      </c>
      <c r="Z115" s="59">
        <v>0</v>
      </c>
      <c r="AA115" s="55">
        <v>0</v>
      </c>
      <c r="AB115" s="55">
        <v>0</v>
      </c>
      <c r="AC115" s="57">
        <v>0</v>
      </c>
      <c r="AD115" s="57">
        <v>0</v>
      </c>
      <c r="AE115" s="57">
        <v>0</v>
      </c>
    </row>
    <row r="116" spans="1:31" x14ac:dyDescent="0.25">
      <c r="A116" s="13" t="s">
        <v>9</v>
      </c>
      <c r="B116" s="86">
        <v>0</v>
      </c>
      <c r="C116" s="60">
        <v>0</v>
      </c>
      <c r="D116" s="34">
        <v>0</v>
      </c>
      <c r="E116" s="34">
        <v>0</v>
      </c>
      <c r="F116" s="34">
        <v>0</v>
      </c>
      <c r="G116" s="61">
        <v>0</v>
      </c>
      <c r="H116" s="18"/>
      <c r="I116" s="76"/>
      <c r="J116" s="18"/>
      <c r="K116" s="18"/>
      <c r="L116" s="18"/>
      <c r="M116" s="18"/>
      <c r="N116" s="18"/>
      <c r="O116" s="12"/>
      <c r="Q116" s="228">
        <f>B116*$I$14</f>
        <v>0</v>
      </c>
      <c r="R116" s="231">
        <f t="shared" ref="R116:V116" si="131">C116*$I$14</f>
        <v>0</v>
      </c>
      <c r="S116" s="232">
        <f t="shared" si="131"/>
        <v>0</v>
      </c>
      <c r="T116" s="232">
        <f t="shared" si="131"/>
        <v>0</v>
      </c>
      <c r="U116" s="232">
        <f t="shared" si="131"/>
        <v>0</v>
      </c>
      <c r="V116" s="233">
        <f t="shared" si="131"/>
        <v>0</v>
      </c>
      <c r="X116" s="144" t="s">
        <v>9</v>
      </c>
      <c r="Y116" s="55">
        <v>0</v>
      </c>
      <c r="Z116" s="55">
        <v>0</v>
      </c>
      <c r="AA116" s="55">
        <v>0</v>
      </c>
      <c r="AB116" s="55">
        <v>0</v>
      </c>
      <c r="AC116" s="57">
        <v>0</v>
      </c>
      <c r="AD116" s="57">
        <v>0</v>
      </c>
      <c r="AE116" s="57">
        <v>0</v>
      </c>
    </row>
    <row r="117" spans="1:31" x14ac:dyDescent="0.25">
      <c r="A117" s="13" t="s">
        <v>10</v>
      </c>
      <c r="B117" s="86">
        <v>0</v>
      </c>
      <c r="C117" s="60">
        <v>0</v>
      </c>
      <c r="D117" s="34">
        <v>0</v>
      </c>
      <c r="E117" s="34">
        <v>0</v>
      </c>
      <c r="F117" s="34">
        <v>0</v>
      </c>
      <c r="G117" s="61">
        <v>0</v>
      </c>
      <c r="H117" s="18"/>
      <c r="I117" s="76"/>
      <c r="J117" s="154"/>
      <c r="K117" s="18"/>
      <c r="L117" s="18"/>
      <c r="M117" s="18"/>
      <c r="N117" s="18"/>
      <c r="O117" s="12"/>
      <c r="Q117" s="228">
        <f>B117*$I$11</f>
        <v>0</v>
      </c>
      <c r="R117" s="231">
        <f t="shared" ref="R117:V117" si="132">C117*$I$11</f>
        <v>0</v>
      </c>
      <c r="S117" s="232">
        <f t="shared" si="132"/>
        <v>0</v>
      </c>
      <c r="T117" s="232">
        <f t="shared" si="132"/>
        <v>0</v>
      </c>
      <c r="U117" s="232">
        <f t="shared" si="132"/>
        <v>0</v>
      </c>
      <c r="V117" s="233">
        <f t="shared" si="132"/>
        <v>0</v>
      </c>
      <c r="X117" s="144" t="s">
        <v>10</v>
      </c>
      <c r="Y117" s="55">
        <v>0</v>
      </c>
      <c r="Z117" s="55">
        <v>0</v>
      </c>
      <c r="AA117" s="55">
        <v>0</v>
      </c>
      <c r="AB117" s="55">
        <v>0</v>
      </c>
      <c r="AC117" s="57">
        <v>0</v>
      </c>
      <c r="AD117" s="57">
        <v>0</v>
      </c>
      <c r="AE117" s="57">
        <v>0</v>
      </c>
    </row>
    <row r="118" spans="1:31" x14ac:dyDescent="0.25">
      <c r="A118" s="13" t="s">
        <v>22</v>
      </c>
      <c r="B118" s="86">
        <f t="shared" ref="B118:C118" si="133">SUM(B109:B117)</f>
        <v>11240</v>
      </c>
      <c r="C118" s="60">
        <f t="shared" si="133"/>
        <v>11240</v>
      </c>
      <c r="D118" s="34">
        <f t="shared" ref="D118:G118" si="134">SUM(D109:D117)</f>
        <v>11240</v>
      </c>
      <c r="E118" s="34">
        <f t="shared" si="134"/>
        <v>11240</v>
      </c>
      <c r="F118" s="34">
        <f t="shared" si="134"/>
        <v>11240</v>
      </c>
      <c r="G118" s="61">
        <f t="shared" si="134"/>
        <v>11240</v>
      </c>
      <c r="H118" s="18"/>
      <c r="I118" s="76"/>
      <c r="J118" s="154"/>
      <c r="K118" s="18"/>
      <c r="L118" s="18"/>
      <c r="M118" s="18"/>
      <c r="N118" s="18"/>
      <c r="O118" s="12"/>
      <c r="Q118" s="228">
        <f t="shared" ref="Q118" si="135">SUM(Q109:Q117)</f>
        <v>15.79315929422896</v>
      </c>
      <c r="R118" s="231">
        <f t="shared" ref="R118:V118" si="136">SUM(R109:R117)</f>
        <v>14.412239108394862</v>
      </c>
      <c r="S118" s="232">
        <f t="shared" si="136"/>
        <v>13.344751464740211</v>
      </c>
      <c r="T118" s="232">
        <f t="shared" si="136"/>
        <v>12.05468129113204</v>
      </c>
      <c r="U118" s="232">
        <f t="shared" si="136"/>
        <v>10.641963601018865</v>
      </c>
      <c r="V118" s="233">
        <f t="shared" si="136"/>
        <v>9.6380709659223669</v>
      </c>
      <c r="X118" s="144" t="s">
        <v>22</v>
      </c>
      <c r="Y118" s="13">
        <f>SUM(Y109:Y117)</f>
        <v>11070</v>
      </c>
      <c r="Z118">
        <f>SUM(Z109:Z117)</f>
        <v>11120</v>
      </c>
      <c r="AA118">
        <f>SUM(AA109:AA117)</f>
        <v>11184</v>
      </c>
      <c r="AB118">
        <f t="shared" ref="AB118:AD118" si="137">SUM(AB109:AB117)</f>
        <v>11211</v>
      </c>
      <c r="AC118">
        <f t="shared" si="137"/>
        <v>11242</v>
      </c>
      <c r="AD118">
        <f t="shared" si="137"/>
        <v>11253</v>
      </c>
      <c r="AE118" s="12">
        <f t="shared" ref="AE118" si="138">SUM(AE109:AE117)</f>
        <v>11240</v>
      </c>
    </row>
    <row r="119" spans="1:31" x14ac:dyDescent="0.25">
      <c r="A119" s="14" t="s">
        <v>1</v>
      </c>
      <c r="B119" s="96"/>
      <c r="C119" s="64"/>
      <c r="D119" s="49"/>
      <c r="E119" s="49"/>
      <c r="F119" s="49"/>
      <c r="G119" s="65"/>
      <c r="H119" s="15"/>
      <c r="I119" s="14"/>
      <c r="J119" s="15"/>
      <c r="K119" s="15"/>
      <c r="L119" s="15"/>
      <c r="M119" s="15"/>
      <c r="N119" s="15"/>
      <c r="O119" s="99"/>
      <c r="P119" s="15"/>
      <c r="Q119" s="230">
        <f t="shared" ref="Q119" si="139">Q107+Q118</f>
        <v>60.378259029751874</v>
      </c>
      <c r="R119" s="234">
        <f t="shared" ref="R119:V119" si="140">R107+R118</f>
        <v>53.028258240666403</v>
      </c>
      <c r="S119" s="235">
        <f t="shared" si="140"/>
        <v>46.490588515979525</v>
      </c>
      <c r="T119" s="235">
        <f t="shared" si="140"/>
        <v>38.690208395079871</v>
      </c>
      <c r="U119" s="235">
        <f t="shared" si="140"/>
        <v>30.519450709359706</v>
      </c>
      <c r="V119" s="236">
        <f t="shared" si="140"/>
        <v>25.555877948143426</v>
      </c>
      <c r="X119" s="145"/>
      <c r="Y119" s="14"/>
      <c r="Z119" s="15"/>
      <c r="AA119" s="15"/>
      <c r="AB119" s="15"/>
      <c r="AC119" s="15"/>
      <c r="AD119" s="15"/>
      <c r="AE119" s="99"/>
    </row>
    <row r="120" spans="1:31" x14ac:dyDescent="0.25">
      <c r="Q120" s="4"/>
      <c r="R120" s="4"/>
      <c r="S120" s="4"/>
      <c r="T120" s="4"/>
      <c r="U120" s="4"/>
      <c r="V120" s="4"/>
      <c r="X120" s="41"/>
    </row>
    <row r="121" spans="1:31" x14ac:dyDescent="0.25">
      <c r="A121" s="9" t="s">
        <v>24</v>
      </c>
      <c r="B121" s="97" t="s">
        <v>56</v>
      </c>
      <c r="C121" s="294" t="s">
        <v>72</v>
      </c>
      <c r="D121" s="295"/>
      <c r="E121" s="295"/>
      <c r="F121" s="295"/>
      <c r="G121" s="296"/>
      <c r="I121" s="187" t="s">
        <v>83</v>
      </c>
      <c r="J121" s="16"/>
      <c r="K121" s="16"/>
      <c r="L121" s="16"/>
      <c r="M121" s="16"/>
      <c r="N121" s="16"/>
      <c r="O121" s="23"/>
      <c r="Q121" s="294" t="s">
        <v>52</v>
      </c>
      <c r="R121" s="295"/>
      <c r="S121" s="295"/>
      <c r="T121" s="295"/>
      <c r="U121" s="295"/>
      <c r="V121" s="296"/>
      <c r="X121" s="142" t="s">
        <v>24</v>
      </c>
      <c r="Y121" s="103" t="s">
        <v>35</v>
      </c>
      <c r="Z121" s="40" t="s">
        <v>35</v>
      </c>
      <c r="AA121" s="40" t="s">
        <v>35</v>
      </c>
      <c r="AB121" s="40" t="s">
        <v>35</v>
      </c>
      <c r="AC121" s="40" t="s">
        <v>35</v>
      </c>
      <c r="AD121" s="40" t="s">
        <v>35</v>
      </c>
      <c r="AE121" s="104" t="s">
        <v>35</v>
      </c>
    </row>
    <row r="122" spans="1:31" x14ac:dyDescent="0.25">
      <c r="A122" s="11" t="s">
        <v>19</v>
      </c>
      <c r="B122" s="93">
        <v>2024</v>
      </c>
      <c r="C122" s="50">
        <v>2025</v>
      </c>
      <c r="D122" s="91">
        <v>2026</v>
      </c>
      <c r="E122" s="91">
        <v>2027</v>
      </c>
      <c r="F122" s="91">
        <v>2028</v>
      </c>
      <c r="G122" s="25">
        <v>2029</v>
      </c>
      <c r="I122" s="50">
        <v>2025</v>
      </c>
      <c r="J122" s="91">
        <v>2026</v>
      </c>
      <c r="K122" s="91">
        <v>2027</v>
      </c>
      <c r="L122" s="91">
        <v>2028</v>
      </c>
      <c r="M122" s="91">
        <v>2029</v>
      </c>
      <c r="N122" s="6"/>
      <c r="O122" s="77"/>
      <c r="Q122" s="90">
        <v>2024</v>
      </c>
      <c r="R122" s="68">
        <v>2025</v>
      </c>
      <c r="S122" s="68">
        <v>2026</v>
      </c>
      <c r="T122" s="68">
        <v>2027</v>
      </c>
      <c r="U122" s="68">
        <v>2028</v>
      </c>
      <c r="V122" s="69">
        <v>2029</v>
      </c>
      <c r="X122" s="143" t="s">
        <v>19</v>
      </c>
      <c r="Y122" s="105">
        <v>2018</v>
      </c>
      <c r="Z122" s="106">
        <v>2019</v>
      </c>
      <c r="AA122" s="106">
        <v>2020</v>
      </c>
      <c r="AB122" s="106">
        <v>2021</v>
      </c>
      <c r="AC122" s="106">
        <v>2022</v>
      </c>
      <c r="AD122" s="106">
        <v>2023</v>
      </c>
      <c r="AE122" s="107">
        <v>2024</v>
      </c>
    </row>
    <row r="123" spans="1:31" x14ac:dyDescent="0.25">
      <c r="A123" s="13" t="s">
        <v>2</v>
      </c>
      <c r="B123" s="94">
        <v>8.870000000000001</v>
      </c>
      <c r="C123" s="60">
        <f>B123-I124*B123/(B123+B124)</f>
        <v>8.4139650067294767</v>
      </c>
      <c r="D123" s="34">
        <f>C123-J124*C123/(C123+C124)</f>
        <v>7.9292786002691802</v>
      </c>
      <c r="E123" s="34">
        <f>D123-K124*D123/(D123+D124)</f>
        <v>7.1270390309555864</v>
      </c>
      <c r="F123" s="34">
        <f>E123-L124*E123/(E123+E124)</f>
        <v>6.1839300134589514</v>
      </c>
      <c r="G123" s="61">
        <f>F123-M124*F123/(F123+F124)</f>
        <v>5.3339380888290719</v>
      </c>
      <c r="H123" s="7"/>
      <c r="I123" s="39">
        <v>5.54</v>
      </c>
      <c r="J123" s="6">
        <v>5.48</v>
      </c>
      <c r="K123" s="6">
        <v>7.65</v>
      </c>
      <c r="L123" s="6">
        <v>5.39</v>
      </c>
      <c r="M123" s="6">
        <v>7.28</v>
      </c>
      <c r="N123" s="6" t="s">
        <v>25</v>
      </c>
      <c r="O123" s="12"/>
      <c r="Q123" s="228">
        <f>B123*$I$7</f>
        <v>7.6399494278069611</v>
      </c>
      <c r="R123" s="231">
        <f t="shared" ref="R123:V124" si="141">C123*$I$7</f>
        <v>7.2471552580327678</v>
      </c>
      <c r="S123" s="232">
        <f t="shared" si="141"/>
        <v>6.8296829205240694</v>
      </c>
      <c r="T123" s="232">
        <f t="shared" si="141"/>
        <v>6.1386942239579492</v>
      </c>
      <c r="U123" s="232">
        <f t="shared" si="141"/>
        <v>5.3263712026971817</v>
      </c>
      <c r="V123" s="233">
        <f t="shared" si="141"/>
        <v>4.5942522265735537</v>
      </c>
      <c r="X123" s="144" t="s">
        <v>2</v>
      </c>
      <c r="Y123" s="54">
        <v>27.169</v>
      </c>
      <c r="Z123" s="54">
        <v>23.629000000000001</v>
      </c>
      <c r="AA123" s="54">
        <v>18.386742424242428</v>
      </c>
      <c r="AB123" s="54">
        <v>15.220000000000002</v>
      </c>
      <c r="AC123" s="54">
        <v>12.59</v>
      </c>
      <c r="AD123" s="274">
        <v>11.520000000000001</v>
      </c>
      <c r="AE123" s="274">
        <v>8.870000000000001</v>
      </c>
    </row>
    <row r="124" spans="1:31" x14ac:dyDescent="0.25">
      <c r="A124" s="13" t="s">
        <v>3</v>
      </c>
      <c r="B124" s="94">
        <v>28.279999999999998</v>
      </c>
      <c r="C124" s="60">
        <f>B124-I124*B124/(B123+B124)</f>
        <v>26.826034993270522</v>
      </c>
      <c r="D124" s="34">
        <f>C124-J124*C124/(C123+C124)</f>
        <v>25.280721399730819</v>
      </c>
      <c r="E124" s="34">
        <f>D124-K124*D124/(D123+D124)</f>
        <v>22.722960969044411</v>
      </c>
      <c r="F124" s="34">
        <f>E124-L124*E124/(E123+E124)</f>
        <v>19.716069986541047</v>
      </c>
      <c r="G124" s="61">
        <f>F124-M124*F124/(F123+F124)</f>
        <v>17.006061911170924</v>
      </c>
      <c r="H124" s="7"/>
      <c r="I124" s="39">
        <v>1.91</v>
      </c>
      <c r="J124" s="6">
        <v>2.0299999999999998</v>
      </c>
      <c r="K124" s="6">
        <v>3.36</v>
      </c>
      <c r="L124" s="6">
        <v>3.95</v>
      </c>
      <c r="M124" s="6">
        <v>3.56</v>
      </c>
      <c r="N124" s="6" t="s">
        <v>26</v>
      </c>
      <c r="O124" s="12"/>
      <c r="Q124" s="228">
        <f>B124*$I$7</f>
        <v>24.358260407934704</v>
      </c>
      <c r="R124" s="231">
        <f t="shared" si="141"/>
        <v>23.105924543085301</v>
      </c>
      <c r="S124" s="232">
        <f t="shared" si="141"/>
        <v>21.774907890915518</v>
      </c>
      <c r="T124" s="232">
        <f t="shared" si="141"/>
        <v>19.571845845944843</v>
      </c>
      <c r="U124" s="232">
        <f t="shared" si="141"/>
        <v>16.981936596648957</v>
      </c>
      <c r="V124" s="233">
        <f t="shared" si="141"/>
        <v>14.647739906144311</v>
      </c>
      <c r="X124" s="144" t="s">
        <v>3</v>
      </c>
      <c r="Y124" s="54">
        <v>46.145000000000003</v>
      </c>
      <c r="Z124" s="54">
        <v>42.436500000000002</v>
      </c>
      <c r="AA124" s="54">
        <v>37.033478787878792</v>
      </c>
      <c r="AB124" s="54">
        <v>34.019999999999996</v>
      </c>
      <c r="AC124" s="54">
        <v>30.05</v>
      </c>
      <c r="AD124" s="274">
        <v>28.22</v>
      </c>
      <c r="AE124" s="274">
        <v>28.279999999999998</v>
      </c>
    </row>
    <row r="125" spans="1:31" x14ac:dyDescent="0.25">
      <c r="A125" s="13" t="s">
        <v>4</v>
      </c>
      <c r="B125" s="94">
        <v>0</v>
      </c>
      <c r="C125" s="60">
        <v>0</v>
      </c>
      <c r="D125" s="34">
        <v>0</v>
      </c>
      <c r="E125" s="34">
        <v>0</v>
      </c>
      <c r="F125" s="34">
        <v>0</v>
      </c>
      <c r="G125" s="61">
        <v>0</v>
      </c>
      <c r="H125" s="7"/>
      <c r="I125" s="39">
        <v>541</v>
      </c>
      <c r="J125" s="6">
        <v>478</v>
      </c>
      <c r="K125" s="6">
        <v>603</v>
      </c>
      <c r="L125" s="6">
        <v>592</v>
      </c>
      <c r="M125" s="6">
        <v>745</v>
      </c>
      <c r="N125" s="6" t="s">
        <v>11</v>
      </c>
      <c r="O125" s="77"/>
      <c r="Q125" s="228">
        <f>B125*$I$8</f>
        <v>0</v>
      </c>
      <c r="R125" s="231">
        <f t="shared" ref="R125:V126" si="142">C125*$I$8</f>
        <v>0</v>
      </c>
      <c r="S125" s="232">
        <f t="shared" si="142"/>
        <v>0</v>
      </c>
      <c r="T125" s="232">
        <f t="shared" si="142"/>
        <v>0</v>
      </c>
      <c r="U125" s="232">
        <f t="shared" si="142"/>
        <v>0</v>
      </c>
      <c r="V125" s="233">
        <f t="shared" si="142"/>
        <v>0</v>
      </c>
      <c r="X125" s="179" t="s">
        <v>4</v>
      </c>
      <c r="Y125" s="54">
        <v>0</v>
      </c>
      <c r="Z125" s="54">
        <v>0</v>
      </c>
      <c r="AA125" s="54">
        <v>0</v>
      </c>
      <c r="AB125" s="54">
        <v>0.87000000000000011</v>
      </c>
      <c r="AC125" s="54">
        <v>0.8600000000000001</v>
      </c>
      <c r="AD125" s="274">
        <v>0</v>
      </c>
      <c r="AE125" s="274">
        <v>0</v>
      </c>
    </row>
    <row r="126" spans="1:31" x14ac:dyDescent="0.25">
      <c r="A126" s="13" t="s">
        <v>5</v>
      </c>
      <c r="B126" s="94">
        <v>158.57999999999998</v>
      </c>
      <c r="C126" s="60">
        <f>B126</f>
        <v>158.57999999999998</v>
      </c>
      <c r="D126" s="34">
        <f>C126</f>
        <v>158.57999999999998</v>
      </c>
      <c r="E126" s="34">
        <f>D126</f>
        <v>158.57999999999998</v>
      </c>
      <c r="F126" s="34">
        <f>E126</f>
        <v>158.57999999999998</v>
      </c>
      <c r="G126" s="61">
        <f>F126</f>
        <v>158.57999999999998</v>
      </c>
      <c r="H126" s="7"/>
      <c r="I126" s="76"/>
      <c r="J126" s="18"/>
      <c r="K126" s="18"/>
      <c r="L126" s="18"/>
      <c r="M126" s="18"/>
      <c r="N126" s="18"/>
      <c r="O126" s="12"/>
      <c r="Q126" s="228">
        <f>B126*$I$8</f>
        <v>15.342443517265844</v>
      </c>
      <c r="R126" s="231">
        <f t="shared" si="142"/>
        <v>15.342443517265844</v>
      </c>
      <c r="S126" s="232">
        <f t="shared" si="142"/>
        <v>15.342443517265844</v>
      </c>
      <c r="T126" s="232">
        <f t="shared" si="142"/>
        <v>15.342443517265844</v>
      </c>
      <c r="U126" s="232">
        <f t="shared" si="142"/>
        <v>15.342443517265844</v>
      </c>
      <c r="V126" s="233">
        <f t="shared" si="142"/>
        <v>15.342443517265844</v>
      </c>
      <c r="X126" s="144" t="s">
        <v>5</v>
      </c>
      <c r="Y126" s="54">
        <v>164.184</v>
      </c>
      <c r="Z126" s="54">
        <v>162.53800000000001</v>
      </c>
      <c r="AA126" s="54">
        <v>163.48979999999997</v>
      </c>
      <c r="AB126" s="54">
        <v>159.71</v>
      </c>
      <c r="AC126" s="54">
        <v>158.65</v>
      </c>
      <c r="AD126" s="274">
        <v>159.91000000000003</v>
      </c>
      <c r="AE126" s="274">
        <v>158.57999999999998</v>
      </c>
    </row>
    <row r="127" spans="1:31" x14ac:dyDescent="0.25">
      <c r="A127" s="13" t="s">
        <v>6</v>
      </c>
      <c r="B127" s="94">
        <v>375.75</v>
      </c>
      <c r="C127" s="60">
        <f>B127+I123+I124+I128</f>
        <v>383.20000000000005</v>
      </c>
      <c r="D127" s="34">
        <f>C127+J123+J124+J128</f>
        <v>390.71000000000004</v>
      </c>
      <c r="E127" s="34">
        <f>D127+K123+K124+K128</f>
        <v>401.72</v>
      </c>
      <c r="F127" s="34">
        <f>E127+L123+L124+L128</f>
        <v>411.06</v>
      </c>
      <c r="G127" s="61">
        <f>F127+M123+M124+M128</f>
        <v>421.9</v>
      </c>
      <c r="H127" s="7"/>
      <c r="I127" s="39" t="s">
        <v>64</v>
      </c>
      <c r="J127" s="6"/>
      <c r="K127" s="6"/>
      <c r="L127" s="6"/>
      <c r="M127" s="6"/>
      <c r="N127" s="6"/>
      <c r="O127" s="12"/>
      <c r="Q127" s="228">
        <f>B127*$I$9</f>
        <v>10.839394142276365</v>
      </c>
      <c r="R127" s="231">
        <f t="shared" ref="R127:V127" si="143">C127*$I$9</f>
        <v>11.054306946960223</v>
      </c>
      <c r="S127" s="232">
        <f t="shared" si="143"/>
        <v>11.270950593024082</v>
      </c>
      <c r="T127" s="232">
        <f t="shared" si="143"/>
        <v>11.588559986254856</v>
      </c>
      <c r="U127" s="232">
        <f t="shared" si="143"/>
        <v>11.857994294408844</v>
      </c>
      <c r="V127" s="233">
        <f t="shared" si="143"/>
        <v>12.170699637062937</v>
      </c>
      <c r="X127" s="144" t="s">
        <v>6</v>
      </c>
      <c r="Y127" s="54">
        <v>280.09100000000001</v>
      </c>
      <c r="Z127" s="54">
        <v>293.26100000000002</v>
      </c>
      <c r="AA127" s="54">
        <v>318.2611818181818</v>
      </c>
      <c r="AB127" s="54">
        <v>336.29</v>
      </c>
      <c r="AC127" s="54">
        <v>357.92</v>
      </c>
      <c r="AD127" s="274">
        <v>367.23</v>
      </c>
      <c r="AE127" s="274">
        <v>375.75</v>
      </c>
    </row>
    <row r="128" spans="1:31" x14ac:dyDescent="0.25">
      <c r="A128" s="13" t="s">
        <v>7</v>
      </c>
      <c r="B128" s="94">
        <v>58.69</v>
      </c>
      <c r="C128" s="60">
        <f>B128-I123</f>
        <v>53.15</v>
      </c>
      <c r="D128" s="34">
        <f>C128-J123</f>
        <v>47.67</v>
      </c>
      <c r="E128" s="34">
        <f>D128-K123</f>
        <v>40.020000000000003</v>
      </c>
      <c r="F128" s="34">
        <f>E128-L123</f>
        <v>34.630000000000003</v>
      </c>
      <c r="G128" s="61">
        <f>F128-M123</f>
        <v>27.35</v>
      </c>
      <c r="H128" s="7"/>
      <c r="I128" s="190">
        <v>0</v>
      </c>
      <c r="J128" s="188">
        <v>0</v>
      </c>
      <c r="K128" s="188">
        <v>0</v>
      </c>
      <c r="L128" s="188">
        <v>0</v>
      </c>
      <c r="M128" s="188">
        <v>0</v>
      </c>
      <c r="N128" s="6" t="s">
        <v>12</v>
      </c>
      <c r="O128" s="12"/>
      <c r="Q128" s="228">
        <f>B128*$I$6</f>
        <v>67.920068831510861</v>
      </c>
      <c r="R128" s="231">
        <f t="shared" ref="R128:V130" si="144">C128*$I$6</f>
        <v>61.508803175920974</v>
      </c>
      <c r="S128" s="232">
        <f t="shared" si="144"/>
        <v>55.166973610463842</v>
      </c>
      <c r="T128" s="232">
        <f t="shared" si="144"/>
        <v>46.313872118539187</v>
      </c>
      <c r="U128" s="232">
        <f t="shared" si="144"/>
        <v>40.076196688281158</v>
      </c>
      <c r="V128" s="233">
        <f t="shared" si="144"/>
        <v>31.651284418841747</v>
      </c>
      <c r="X128" s="144" t="s">
        <v>7</v>
      </c>
      <c r="Y128" s="54">
        <v>101.90600000000001</v>
      </c>
      <c r="Z128" s="54">
        <v>99.406000000000006</v>
      </c>
      <c r="AA128" s="54">
        <v>91.433340000000001</v>
      </c>
      <c r="AB128" s="54">
        <v>78.009999999999991</v>
      </c>
      <c r="AC128" s="54">
        <v>68.44</v>
      </c>
      <c r="AD128" s="274">
        <v>64.539999999999992</v>
      </c>
      <c r="AE128" s="274">
        <v>58.69</v>
      </c>
    </row>
    <row r="129" spans="1:31" x14ac:dyDescent="0.25">
      <c r="A129" s="13" t="s">
        <v>8</v>
      </c>
      <c r="B129" s="94">
        <v>0</v>
      </c>
      <c r="C129" s="60">
        <v>0</v>
      </c>
      <c r="D129" s="34">
        <v>0</v>
      </c>
      <c r="E129" s="34">
        <v>0</v>
      </c>
      <c r="F129" s="34">
        <v>0</v>
      </c>
      <c r="G129" s="61">
        <v>0</v>
      </c>
      <c r="I129" s="190">
        <v>0</v>
      </c>
      <c r="J129" s="188">
        <v>0</v>
      </c>
      <c r="K129" s="188">
        <v>0</v>
      </c>
      <c r="L129" s="188">
        <v>0</v>
      </c>
      <c r="M129" s="188">
        <v>0</v>
      </c>
      <c r="N129" s="6" t="s">
        <v>11</v>
      </c>
      <c r="O129" s="12"/>
      <c r="Q129" s="228">
        <f>B129*$I$6</f>
        <v>0</v>
      </c>
      <c r="R129" s="231">
        <f t="shared" si="144"/>
        <v>0</v>
      </c>
      <c r="S129" s="232">
        <f t="shared" si="144"/>
        <v>0</v>
      </c>
      <c r="T129" s="232">
        <f t="shared" si="144"/>
        <v>0</v>
      </c>
      <c r="U129" s="232">
        <f t="shared" si="144"/>
        <v>0</v>
      </c>
      <c r="V129" s="233">
        <f t="shared" si="144"/>
        <v>0</v>
      </c>
      <c r="X129" s="144" t="s">
        <v>8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  <c r="AD129" s="274">
        <v>0</v>
      </c>
      <c r="AE129" s="274">
        <v>0</v>
      </c>
    </row>
    <row r="130" spans="1:31" x14ac:dyDescent="0.25">
      <c r="A130" s="13" t="s">
        <v>9</v>
      </c>
      <c r="B130" s="94">
        <v>0</v>
      </c>
      <c r="C130" s="60">
        <v>0</v>
      </c>
      <c r="D130" s="34">
        <v>0</v>
      </c>
      <c r="E130" s="34">
        <v>0</v>
      </c>
      <c r="F130" s="34">
        <v>0</v>
      </c>
      <c r="G130" s="61">
        <v>0</v>
      </c>
      <c r="I130" s="39"/>
      <c r="J130" s="6"/>
      <c r="K130" s="6"/>
      <c r="L130" s="6"/>
      <c r="M130" s="6"/>
      <c r="O130" s="12"/>
      <c r="Q130" s="228">
        <f>B130*$I$6</f>
        <v>0</v>
      </c>
      <c r="R130" s="231">
        <f t="shared" si="144"/>
        <v>0</v>
      </c>
      <c r="S130" s="232">
        <f t="shared" si="144"/>
        <v>0</v>
      </c>
      <c r="T130" s="232">
        <f t="shared" si="144"/>
        <v>0</v>
      </c>
      <c r="U130" s="232">
        <f t="shared" si="144"/>
        <v>0</v>
      </c>
      <c r="V130" s="233">
        <f t="shared" si="144"/>
        <v>0</v>
      </c>
      <c r="X130" s="144" t="s">
        <v>9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  <c r="AD130" s="274">
        <v>0</v>
      </c>
      <c r="AE130" s="274">
        <v>0</v>
      </c>
    </row>
    <row r="131" spans="1:31" x14ac:dyDescent="0.25">
      <c r="A131" s="13" t="s">
        <v>10</v>
      </c>
      <c r="B131" s="94">
        <v>0</v>
      </c>
      <c r="C131" s="60">
        <v>0</v>
      </c>
      <c r="D131" s="34">
        <v>0</v>
      </c>
      <c r="E131" s="34">
        <v>0</v>
      </c>
      <c r="F131" s="34">
        <v>0</v>
      </c>
      <c r="G131" s="61">
        <v>0</v>
      </c>
      <c r="I131" s="13"/>
      <c r="O131" s="12"/>
      <c r="Q131" s="228">
        <f>B131*$I$7</f>
        <v>0</v>
      </c>
      <c r="R131" s="231">
        <f t="shared" ref="R131:V131" si="145">C131*$I$7</f>
        <v>0</v>
      </c>
      <c r="S131" s="232">
        <f t="shared" si="145"/>
        <v>0</v>
      </c>
      <c r="T131" s="232">
        <f t="shared" si="145"/>
        <v>0</v>
      </c>
      <c r="U131" s="232">
        <f t="shared" si="145"/>
        <v>0</v>
      </c>
      <c r="V131" s="233">
        <f t="shared" si="145"/>
        <v>0</v>
      </c>
      <c r="X131" s="144" t="s">
        <v>10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274">
        <v>0</v>
      </c>
      <c r="AE131" s="274">
        <v>0</v>
      </c>
    </row>
    <row r="132" spans="1:31" x14ac:dyDescent="0.25">
      <c r="A132" s="13" t="s">
        <v>21</v>
      </c>
      <c r="B132" s="94">
        <f t="shared" ref="B132:F132" si="146">SUM(B123:B131)</f>
        <v>630.17000000000007</v>
      </c>
      <c r="C132" s="60">
        <f t="shared" si="146"/>
        <v>630.16999999999996</v>
      </c>
      <c r="D132" s="34">
        <f t="shared" si="146"/>
        <v>630.16999999999996</v>
      </c>
      <c r="E132" s="34">
        <f t="shared" si="146"/>
        <v>630.16999999999996</v>
      </c>
      <c r="F132" s="34">
        <f t="shared" si="146"/>
        <v>630.16999999999996</v>
      </c>
      <c r="G132" s="61">
        <f t="shared" ref="G132" si="147">SUM(G123:G131)</f>
        <v>630.16999999999996</v>
      </c>
      <c r="I132" s="13"/>
      <c r="J132" s="120"/>
      <c r="O132" s="12"/>
      <c r="Q132" s="228">
        <f t="shared" ref="Q132:V132" si="148">SUM(Q123:Q131)</f>
        <v>126.10011632679473</v>
      </c>
      <c r="R132" s="231">
        <f t="shared" si="148"/>
        <v>118.25863344126512</v>
      </c>
      <c r="S132" s="232">
        <f t="shared" si="148"/>
        <v>110.38495853219335</v>
      </c>
      <c r="T132" s="232">
        <f t="shared" si="148"/>
        <v>98.955415691962685</v>
      </c>
      <c r="U132" s="232">
        <f t="shared" si="148"/>
        <v>89.584942299301986</v>
      </c>
      <c r="V132" s="233">
        <f t="shared" si="148"/>
        <v>78.406419705888396</v>
      </c>
      <c r="X132" s="144" t="s">
        <v>21</v>
      </c>
      <c r="Y132" s="146">
        <f>SUM(Y123:Y131)</f>
        <v>619.49499999999989</v>
      </c>
      <c r="Z132" s="3">
        <f>SUM(Z123:Z131)</f>
        <v>621.27050000000008</v>
      </c>
      <c r="AA132" s="147">
        <f>SUM(AA123:AA131)</f>
        <v>628.60454303030303</v>
      </c>
      <c r="AB132" s="147">
        <f t="shared" ref="AB132:AD132" si="149">SUM(AB123:AB131)</f>
        <v>624.12</v>
      </c>
      <c r="AC132" s="147">
        <f t="shared" si="149"/>
        <v>628.51</v>
      </c>
      <c r="AD132" s="185">
        <f t="shared" si="149"/>
        <v>631.42000000000007</v>
      </c>
      <c r="AE132" s="275">
        <f t="shared" ref="AE132" si="150">SUM(AE123:AE131)</f>
        <v>630.17000000000007</v>
      </c>
    </row>
    <row r="133" spans="1:31" x14ac:dyDescent="0.25">
      <c r="A133" s="11" t="s">
        <v>20</v>
      </c>
      <c r="B133" s="95"/>
      <c r="C133" s="62"/>
      <c r="D133" s="92"/>
      <c r="E133" s="92"/>
      <c r="F133" s="92"/>
      <c r="G133" s="63"/>
      <c r="I133" s="13"/>
      <c r="J133" s="120"/>
      <c r="O133" s="12"/>
      <c r="Q133" s="228"/>
      <c r="R133" s="231"/>
      <c r="S133" s="232"/>
      <c r="T133" s="232"/>
      <c r="U133" s="232"/>
      <c r="V133" s="233"/>
      <c r="X133" s="143" t="s">
        <v>20</v>
      </c>
      <c r="Y133" s="146"/>
      <c r="Z133" s="3"/>
      <c r="AA133" s="3"/>
      <c r="AB133" s="3"/>
      <c r="AC133" s="3"/>
      <c r="AD133" s="202"/>
      <c r="AE133" s="276"/>
    </row>
    <row r="134" spans="1:31" x14ac:dyDescent="0.25">
      <c r="A134" s="13" t="s">
        <v>2</v>
      </c>
      <c r="B134" s="86">
        <v>2896</v>
      </c>
      <c r="C134" s="60">
        <f>B134-I125*B134/(B134+B135)</f>
        <v>2620.7477160927619</v>
      </c>
      <c r="D134" s="34">
        <f t="shared" ref="D134:G134" si="151">C134-J125*C134/(C134+C135)</f>
        <v>2377.5488404778639</v>
      </c>
      <c r="E134" s="34">
        <f t="shared" si="151"/>
        <v>2070.7519325368939</v>
      </c>
      <c r="F134" s="34">
        <f t="shared" si="151"/>
        <v>1769.5516514406186</v>
      </c>
      <c r="G134" s="61">
        <f t="shared" si="151"/>
        <v>1390.5073787772312</v>
      </c>
      <c r="I134" s="13"/>
      <c r="O134" s="12"/>
      <c r="Q134" s="228">
        <f>B134*$I$11</f>
        <v>41.953360005016059</v>
      </c>
      <c r="R134" s="231">
        <f t="shared" ref="R134:V135" si="152">C134*$I$11</f>
        <v>37.965874452887867</v>
      </c>
      <c r="S134" s="232">
        <f t="shared" si="152"/>
        <v>34.442735647125801</v>
      </c>
      <c r="T134" s="232">
        <f t="shared" si="152"/>
        <v>29.998273931907125</v>
      </c>
      <c r="U134" s="232">
        <f t="shared" si="152"/>
        <v>25.634888632720635</v>
      </c>
      <c r="V134" s="233">
        <f t="shared" si="152"/>
        <v>20.143804092359257</v>
      </c>
      <c r="X134" s="144" t="s">
        <v>2</v>
      </c>
      <c r="Y134" s="55">
        <v>5812</v>
      </c>
      <c r="Z134" s="55">
        <v>5389</v>
      </c>
      <c r="AA134" s="55">
        <v>4685</v>
      </c>
      <c r="AB134" s="55">
        <v>4061</v>
      </c>
      <c r="AC134" s="55">
        <v>3402</v>
      </c>
      <c r="AD134" s="277">
        <v>3214</v>
      </c>
      <c r="AE134" s="277">
        <v>2896</v>
      </c>
    </row>
    <row r="135" spans="1:31" x14ac:dyDescent="0.25">
      <c r="A135" s="13" t="s">
        <v>3</v>
      </c>
      <c r="B135" s="86">
        <v>2796</v>
      </c>
      <c r="C135" s="60">
        <f>B135-I125*B135/(B134+B135)</f>
        <v>2530.2522839072381</v>
      </c>
      <c r="D135" s="34">
        <f t="shared" ref="D135:G135" si="153">C135-J125*C135/(C134+C135)</f>
        <v>2295.4511595221361</v>
      </c>
      <c r="E135" s="34">
        <f t="shared" si="153"/>
        <v>1999.2480674631058</v>
      </c>
      <c r="F135" s="34">
        <f t="shared" si="153"/>
        <v>1708.4483485593814</v>
      </c>
      <c r="G135" s="61">
        <f t="shared" si="153"/>
        <v>1342.4926212227688</v>
      </c>
      <c r="I135" s="13"/>
      <c r="O135" s="12"/>
      <c r="Q135" s="228">
        <f>B135*$I$11</f>
        <v>40.504694258986497</v>
      </c>
      <c r="R135" s="231">
        <f t="shared" si="152"/>
        <v>36.654898125094775</v>
      </c>
      <c r="S135" s="232">
        <f t="shared" si="152"/>
        <v>33.253414664835539</v>
      </c>
      <c r="T135" s="232">
        <f t="shared" si="152"/>
        <v>28.962421931495964</v>
      </c>
      <c r="U135" s="232">
        <f t="shared" si="152"/>
        <v>24.74970601418746</v>
      </c>
      <c r="V135" s="233">
        <f t="shared" si="152"/>
        <v>19.448230746628617</v>
      </c>
      <c r="X135" s="144" t="s">
        <v>3</v>
      </c>
      <c r="Y135" s="55">
        <v>4114</v>
      </c>
      <c r="Z135" s="55">
        <v>3765</v>
      </c>
      <c r="AA135" s="55">
        <v>3452</v>
      </c>
      <c r="AB135" s="55">
        <v>3340</v>
      </c>
      <c r="AC135" s="55">
        <v>3021</v>
      </c>
      <c r="AD135" s="277">
        <v>2938</v>
      </c>
      <c r="AE135" s="277">
        <v>2796</v>
      </c>
    </row>
    <row r="136" spans="1:31" x14ac:dyDescent="0.25">
      <c r="A136" s="13" t="s">
        <v>4</v>
      </c>
      <c r="B136" s="86">
        <v>0</v>
      </c>
      <c r="C136" s="60">
        <f t="shared" ref="C136:G137" si="154">B136</f>
        <v>0</v>
      </c>
      <c r="D136" s="34">
        <f t="shared" si="154"/>
        <v>0</v>
      </c>
      <c r="E136" s="34">
        <f t="shared" si="154"/>
        <v>0</v>
      </c>
      <c r="F136" s="34">
        <f t="shared" si="154"/>
        <v>0</v>
      </c>
      <c r="G136" s="61">
        <f t="shared" si="154"/>
        <v>0</v>
      </c>
      <c r="I136" s="13"/>
      <c r="O136" s="12"/>
      <c r="Q136" s="228">
        <f>B136*$I$12</f>
        <v>0</v>
      </c>
      <c r="R136" s="231">
        <f t="shared" ref="R136:V137" si="155">C136*$I$12</f>
        <v>0</v>
      </c>
      <c r="S136" s="232">
        <f t="shared" si="155"/>
        <v>0</v>
      </c>
      <c r="T136" s="232">
        <f t="shared" si="155"/>
        <v>0</v>
      </c>
      <c r="U136" s="232">
        <f t="shared" si="155"/>
        <v>0</v>
      </c>
      <c r="V136" s="233">
        <f t="shared" si="155"/>
        <v>0</v>
      </c>
      <c r="X136" s="179" t="s">
        <v>4</v>
      </c>
      <c r="Y136" s="55">
        <v>11</v>
      </c>
      <c r="Z136" s="55">
        <v>9</v>
      </c>
      <c r="AA136" s="55">
        <v>0</v>
      </c>
      <c r="AB136" s="55">
        <v>0</v>
      </c>
      <c r="AC136" s="55">
        <v>0</v>
      </c>
      <c r="AD136" s="277">
        <v>0</v>
      </c>
      <c r="AE136" s="277">
        <v>0</v>
      </c>
    </row>
    <row r="137" spans="1:31" x14ac:dyDescent="0.25">
      <c r="A137" s="13" t="s">
        <v>5</v>
      </c>
      <c r="B137" s="86">
        <v>832</v>
      </c>
      <c r="C137" s="60">
        <f t="shared" si="154"/>
        <v>832</v>
      </c>
      <c r="D137" s="34">
        <f t="shared" si="154"/>
        <v>832</v>
      </c>
      <c r="E137" s="34">
        <f t="shared" si="154"/>
        <v>832</v>
      </c>
      <c r="F137" s="34">
        <f t="shared" si="154"/>
        <v>832</v>
      </c>
      <c r="G137" s="61">
        <f t="shared" si="154"/>
        <v>832</v>
      </c>
      <c r="I137" s="13"/>
      <c r="O137" s="12"/>
      <c r="Q137" s="228">
        <f>B137*$I$12</f>
        <v>1.0776531601118067</v>
      </c>
      <c r="R137" s="231">
        <f t="shared" si="155"/>
        <v>1.0776531601118067</v>
      </c>
      <c r="S137" s="232">
        <f t="shared" si="155"/>
        <v>1.0776531601118067</v>
      </c>
      <c r="T137" s="232">
        <f t="shared" si="155"/>
        <v>1.0776531601118067</v>
      </c>
      <c r="U137" s="232">
        <f t="shared" si="155"/>
        <v>1.0776531601118067</v>
      </c>
      <c r="V137" s="233">
        <f t="shared" si="155"/>
        <v>1.0776531601118067</v>
      </c>
      <c r="X137" s="144" t="s">
        <v>5</v>
      </c>
      <c r="Y137" s="55">
        <v>933</v>
      </c>
      <c r="Z137" s="55">
        <v>904</v>
      </c>
      <c r="AA137" s="55">
        <v>893</v>
      </c>
      <c r="AB137" s="55">
        <v>866</v>
      </c>
      <c r="AC137" s="55">
        <v>816</v>
      </c>
      <c r="AD137" s="277">
        <v>896</v>
      </c>
      <c r="AE137" s="277">
        <v>832</v>
      </c>
    </row>
    <row r="138" spans="1:31" x14ac:dyDescent="0.25">
      <c r="A138" s="13" t="s">
        <v>6</v>
      </c>
      <c r="B138" s="86">
        <v>26626</v>
      </c>
      <c r="C138" s="60">
        <f>B138+I125+I129</f>
        <v>27167</v>
      </c>
      <c r="D138" s="34">
        <f>C138+J125+J129</f>
        <v>27645</v>
      </c>
      <c r="E138" s="34">
        <f>D138+K125+K129</f>
        <v>28248</v>
      </c>
      <c r="F138" s="34">
        <f>E138+L125+L129</f>
        <v>28840</v>
      </c>
      <c r="G138" s="61">
        <f>F138+M125+M129</f>
        <v>29585</v>
      </c>
      <c r="I138" s="13"/>
      <c r="O138" s="12"/>
      <c r="Q138" s="228">
        <f>B138*$I$13</f>
        <v>7.00247825988414</v>
      </c>
      <c r="R138" s="231">
        <f t="shared" ref="R138:V138" si="156">C138*$I$13</f>
        <v>7.1447580142068814</v>
      </c>
      <c r="S138" s="232">
        <f t="shared" si="156"/>
        <v>7.2704691464920401</v>
      </c>
      <c r="T138" s="232">
        <f t="shared" si="156"/>
        <v>7.4290545288517684</v>
      </c>
      <c r="U138" s="232">
        <f t="shared" si="156"/>
        <v>7.5847469772049347</v>
      </c>
      <c r="V138" s="233">
        <f t="shared" si="156"/>
        <v>7.7806775076493757</v>
      </c>
      <c r="X138" s="144" t="s">
        <v>6</v>
      </c>
      <c r="Y138" s="55">
        <v>25954</v>
      </c>
      <c r="Z138" s="55">
        <v>26886</v>
      </c>
      <c r="AA138" s="55">
        <v>27871</v>
      </c>
      <c r="AB138" s="55">
        <v>28626</v>
      </c>
      <c r="AC138" s="55">
        <v>29832</v>
      </c>
      <c r="AD138" s="277">
        <v>30068</v>
      </c>
      <c r="AE138" s="277">
        <v>26626</v>
      </c>
    </row>
    <row r="139" spans="1:31" x14ac:dyDescent="0.25">
      <c r="A139" s="13" t="s">
        <v>7</v>
      </c>
      <c r="B139" s="86">
        <v>0</v>
      </c>
      <c r="C139" s="60">
        <v>0</v>
      </c>
      <c r="D139" s="34">
        <v>0</v>
      </c>
      <c r="E139" s="34">
        <v>0</v>
      </c>
      <c r="F139" s="34">
        <v>0</v>
      </c>
      <c r="G139" s="61">
        <v>0</v>
      </c>
      <c r="I139" s="13"/>
      <c r="O139" s="12"/>
      <c r="Q139" s="228">
        <f>B139*$I$11</f>
        <v>0</v>
      </c>
      <c r="R139" s="231">
        <f t="shared" ref="R139:V140" si="157">C139*$I$11</f>
        <v>0</v>
      </c>
      <c r="S139" s="232">
        <f t="shared" si="157"/>
        <v>0</v>
      </c>
      <c r="T139" s="232">
        <f t="shared" si="157"/>
        <v>0</v>
      </c>
      <c r="U139" s="232">
        <f t="shared" si="157"/>
        <v>0</v>
      </c>
      <c r="V139" s="233">
        <f t="shared" si="157"/>
        <v>0</v>
      </c>
      <c r="X139" s="144" t="s">
        <v>7</v>
      </c>
      <c r="Y139" s="55">
        <v>0</v>
      </c>
      <c r="Z139" s="55">
        <v>0</v>
      </c>
      <c r="AA139" s="55">
        <v>0</v>
      </c>
      <c r="AB139" s="55">
        <v>0</v>
      </c>
      <c r="AC139" s="55">
        <v>0</v>
      </c>
      <c r="AD139" s="277">
        <v>0</v>
      </c>
      <c r="AE139" s="277">
        <v>0</v>
      </c>
    </row>
    <row r="140" spans="1:31" x14ac:dyDescent="0.25">
      <c r="A140" s="13" t="s">
        <v>8</v>
      </c>
      <c r="B140" s="86">
        <v>0</v>
      </c>
      <c r="C140" s="60">
        <v>0</v>
      </c>
      <c r="D140" s="34">
        <v>0</v>
      </c>
      <c r="E140" s="34">
        <v>0</v>
      </c>
      <c r="F140" s="34">
        <v>0</v>
      </c>
      <c r="G140" s="61">
        <v>0</v>
      </c>
      <c r="I140" s="13"/>
      <c r="O140" s="12"/>
      <c r="Q140" s="228">
        <f>B140*$I$11</f>
        <v>0</v>
      </c>
      <c r="R140" s="231">
        <f t="shared" si="157"/>
        <v>0</v>
      </c>
      <c r="S140" s="232">
        <f t="shared" si="157"/>
        <v>0</v>
      </c>
      <c r="T140" s="232">
        <f t="shared" si="157"/>
        <v>0</v>
      </c>
      <c r="U140" s="232">
        <f t="shared" si="157"/>
        <v>0</v>
      </c>
      <c r="V140" s="233">
        <f t="shared" si="157"/>
        <v>0</v>
      </c>
      <c r="X140" s="144" t="s">
        <v>8</v>
      </c>
      <c r="Y140" s="55">
        <v>0</v>
      </c>
      <c r="Z140" s="55">
        <v>0</v>
      </c>
      <c r="AA140" s="55">
        <v>0</v>
      </c>
      <c r="AB140" s="55">
        <v>0</v>
      </c>
      <c r="AC140" s="55">
        <v>0</v>
      </c>
      <c r="AD140" s="277">
        <v>0</v>
      </c>
      <c r="AE140" s="277">
        <v>0</v>
      </c>
    </row>
    <row r="141" spans="1:31" x14ac:dyDescent="0.25">
      <c r="A141" s="13" t="s">
        <v>9</v>
      </c>
      <c r="B141" s="86">
        <v>0</v>
      </c>
      <c r="C141" s="60">
        <v>0</v>
      </c>
      <c r="D141" s="34">
        <v>0</v>
      </c>
      <c r="E141" s="34">
        <v>0</v>
      </c>
      <c r="F141" s="34">
        <v>0</v>
      </c>
      <c r="G141" s="61">
        <v>0</v>
      </c>
      <c r="I141" s="13"/>
      <c r="O141" s="12"/>
      <c r="Q141" s="228">
        <f>B141*$I$14</f>
        <v>0</v>
      </c>
      <c r="R141" s="231">
        <f t="shared" ref="R141:V141" si="158">C141*$I$14</f>
        <v>0</v>
      </c>
      <c r="S141" s="232">
        <f t="shared" si="158"/>
        <v>0</v>
      </c>
      <c r="T141" s="232">
        <f t="shared" si="158"/>
        <v>0</v>
      </c>
      <c r="U141" s="232">
        <f t="shared" si="158"/>
        <v>0</v>
      </c>
      <c r="V141" s="233">
        <f t="shared" si="158"/>
        <v>0</v>
      </c>
      <c r="X141" s="144" t="s">
        <v>9</v>
      </c>
      <c r="Y141" s="55">
        <v>0</v>
      </c>
      <c r="Z141" s="55">
        <v>0</v>
      </c>
      <c r="AA141" s="55">
        <v>0</v>
      </c>
      <c r="AB141" s="55">
        <v>0</v>
      </c>
      <c r="AC141" s="55">
        <v>0</v>
      </c>
      <c r="AD141" s="277">
        <v>0</v>
      </c>
      <c r="AE141" s="277">
        <v>0</v>
      </c>
    </row>
    <row r="142" spans="1:31" x14ac:dyDescent="0.25">
      <c r="A142" s="13" t="s">
        <v>10</v>
      </c>
      <c r="B142" s="86">
        <v>0</v>
      </c>
      <c r="C142" s="60">
        <f>B142-I125*B142/(B134+B135+B142)</f>
        <v>0</v>
      </c>
      <c r="D142" s="34">
        <f>C142-J125*C142/(C134+C135+C142)</f>
        <v>0</v>
      </c>
      <c r="E142" s="34">
        <f>D142-K125*D142/(D134+D135+D142)</f>
        <v>0</v>
      </c>
      <c r="F142" s="34">
        <f>E142-L125*E142/(E134+E135+E142)</f>
        <v>0</v>
      </c>
      <c r="G142" s="61">
        <f>F142-M125*F142/(F134+F135+F142)</f>
        <v>0</v>
      </c>
      <c r="I142" s="13"/>
      <c r="O142" s="12"/>
      <c r="Q142" s="228">
        <f>B142*$I$11</f>
        <v>0</v>
      </c>
      <c r="R142" s="231">
        <f t="shared" ref="R142:V142" si="159">C142*$I$11</f>
        <v>0</v>
      </c>
      <c r="S142" s="232">
        <f t="shared" si="159"/>
        <v>0</v>
      </c>
      <c r="T142" s="232">
        <f t="shared" si="159"/>
        <v>0</v>
      </c>
      <c r="U142" s="232">
        <f t="shared" si="159"/>
        <v>0</v>
      </c>
      <c r="V142" s="233">
        <f t="shared" si="159"/>
        <v>0</v>
      </c>
      <c r="X142" s="144" t="s">
        <v>10</v>
      </c>
      <c r="Y142" s="55">
        <v>4</v>
      </c>
      <c r="Z142" s="55">
        <v>7</v>
      </c>
      <c r="AA142" s="55">
        <v>1</v>
      </c>
      <c r="AB142" s="55">
        <v>30</v>
      </c>
      <c r="AC142" s="55">
        <v>20</v>
      </c>
      <c r="AD142" s="277">
        <v>0</v>
      </c>
      <c r="AE142" s="277">
        <v>0</v>
      </c>
    </row>
    <row r="143" spans="1:31" x14ac:dyDescent="0.25">
      <c r="A143" s="13" t="s">
        <v>22</v>
      </c>
      <c r="B143" s="86">
        <f t="shared" ref="B143:F143" si="160">SUM(B134:B142)</f>
        <v>33150</v>
      </c>
      <c r="C143" s="60">
        <f t="shared" si="160"/>
        <v>33150</v>
      </c>
      <c r="D143" s="34">
        <f t="shared" si="160"/>
        <v>33150</v>
      </c>
      <c r="E143" s="34">
        <f t="shared" si="160"/>
        <v>33150</v>
      </c>
      <c r="F143" s="34">
        <f t="shared" si="160"/>
        <v>33150</v>
      </c>
      <c r="G143" s="61">
        <f t="shared" ref="G143" si="161">SUM(G134:G142)</f>
        <v>33150</v>
      </c>
      <c r="I143" s="13"/>
      <c r="O143" s="12"/>
      <c r="Q143" s="228">
        <f t="shared" ref="Q143" si="162">SUM(Q134:Q142)</f>
        <v>90.538185683998506</v>
      </c>
      <c r="R143" s="231">
        <f t="shared" ref="R143:V143" si="163">SUM(R134:R142)</f>
        <v>82.843183752301343</v>
      </c>
      <c r="S143" s="232">
        <f t="shared" si="163"/>
        <v>76.044272618565174</v>
      </c>
      <c r="T143" s="232">
        <f t="shared" si="163"/>
        <v>67.467403552366662</v>
      </c>
      <c r="U143" s="232">
        <f t="shared" si="163"/>
        <v>59.046994784224843</v>
      </c>
      <c r="V143" s="233">
        <f t="shared" si="163"/>
        <v>48.450365506749051</v>
      </c>
      <c r="X143" s="144" t="s">
        <v>22</v>
      </c>
      <c r="Y143" s="13">
        <f>SUM(Y134:Y142)</f>
        <v>36828</v>
      </c>
      <c r="Z143">
        <f>SUM(Z134:Z142)</f>
        <v>36960</v>
      </c>
      <c r="AA143">
        <f>SUM(AA134:AA142)</f>
        <v>36902</v>
      </c>
      <c r="AB143">
        <f t="shared" ref="AB143:AD143" si="164">SUM(AB134:AB142)</f>
        <v>36923</v>
      </c>
      <c r="AC143">
        <f t="shared" si="164"/>
        <v>37091</v>
      </c>
      <c r="AD143">
        <f t="shared" si="164"/>
        <v>37116</v>
      </c>
      <c r="AE143" s="12">
        <f t="shared" ref="AE143" si="165">SUM(AE134:AE142)</f>
        <v>33150</v>
      </c>
    </row>
    <row r="144" spans="1:31" x14ac:dyDescent="0.25">
      <c r="A144" s="14" t="s">
        <v>1</v>
      </c>
      <c r="B144" s="96"/>
      <c r="C144" s="64"/>
      <c r="D144" s="49"/>
      <c r="E144" s="49"/>
      <c r="F144" s="49"/>
      <c r="G144" s="65"/>
      <c r="I144" s="14"/>
      <c r="J144" s="15"/>
      <c r="K144" s="15"/>
      <c r="L144" s="15"/>
      <c r="M144" s="15"/>
      <c r="N144" s="15"/>
      <c r="O144" s="99"/>
      <c r="P144" s="15"/>
      <c r="Q144" s="230">
        <f t="shared" ref="Q144" si="166">Q132+Q143</f>
        <v>216.63830201079324</v>
      </c>
      <c r="R144" s="234">
        <f t="shared" ref="R144:V144" si="167">R132+R143</f>
        <v>201.10181719356646</v>
      </c>
      <c r="S144" s="235">
        <f t="shared" si="167"/>
        <v>186.42923115075854</v>
      </c>
      <c r="T144" s="235">
        <f t="shared" si="167"/>
        <v>166.42281924432933</v>
      </c>
      <c r="U144" s="235">
        <f t="shared" si="167"/>
        <v>148.63193708352682</v>
      </c>
      <c r="V144" s="236">
        <f t="shared" si="167"/>
        <v>126.85678521263745</v>
      </c>
      <c r="X144" s="273"/>
      <c r="Y144" s="14"/>
      <c r="Z144" s="15"/>
      <c r="AA144" s="15"/>
      <c r="AB144" s="15"/>
      <c r="AC144" s="15"/>
      <c r="AD144" s="15"/>
      <c r="AE144" s="278" t="s">
        <v>125</v>
      </c>
    </row>
    <row r="145" spans="1:31" x14ac:dyDescent="0.25">
      <c r="X145" s="41"/>
    </row>
    <row r="146" spans="1:31" x14ac:dyDescent="0.25">
      <c r="A146" s="9" t="s">
        <v>96</v>
      </c>
      <c r="B146" s="97" t="s">
        <v>56</v>
      </c>
      <c r="C146" s="294" t="s">
        <v>72</v>
      </c>
      <c r="D146" s="295"/>
      <c r="E146" s="295"/>
      <c r="F146" s="295"/>
      <c r="G146" s="296"/>
      <c r="I146" s="187" t="s">
        <v>110</v>
      </c>
      <c r="J146" s="16"/>
      <c r="K146" s="16"/>
      <c r="L146" s="16"/>
      <c r="M146" s="16"/>
      <c r="N146" s="16"/>
      <c r="O146" s="192"/>
      <c r="P146" s="10"/>
      <c r="Q146" s="294" t="s">
        <v>52</v>
      </c>
      <c r="R146" s="295"/>
      <c r="S146" s="295"/>
      <c r="T146" s="295"/>
      <c r="U146" s="295"/>
      <c r="V146" s="296"/>
      <c r="X146" s="9" t="s">
        <v>37</v>
      </c>
      <c r="Y146" s="103" t="s">
        <v>35</v>
      </c>
      <c r="Z146" s="40" t="s">
        <v>35</v>
      </c>
      <c r="AA146" s="40" t="s">
        <v>35</v>
      </c>
      <c r="AB146" s="40" t="s">
        <v>35</v>
      </c>
      <c r="AC146" s="40" t="s">
        <v>35</v>
      </c>
      <c r="AD146" s="40" t="s">
        <v>35</v>
      </c>
      <c r="AE146" s="104" t="s">
        <v>35</v>
      </c>
    </row>
    <row r="147" spans="1:31" x14ac:dyDescent="0.25">
      <c r="A147" s="11" t="s">
        <v>19</v>
      </c>
      <c r="B147" s="93">
        <v>2024</v>
      </c>
      <c r="C147" s="50">
        <v>2025</v>
      </c>
      <c r="D147" s="91">
        <v>2026</v>
      </c>
      <c r="E147" s="91">
        <v>2027</v>
      </c>
      <c r="F147" s="91">
        <v>2028</v>
      </c>
      <c r="G147" s="25">
        <v>2029</v>
      </c>
      <c r="I147" s="50">
        <v>2025</v>
      </c>
      <c r="J147" s="91">
        <v>2026</v>
      </c>
      <c r="K147" s="91">
        <v>2027</v>
      </c>
      <c r="L147" s="91">
        <v>2028</v>
      </c>
      <c r="M147" s="91">
        <v>2029</v>
      </c>
      <c r="N147" s="6"/>
      <c r="O147" s="129"/>
      <c r="Q147" s="90">
        <v>2024</v>
      </c>
      <c r="R147" s="67">
        <v>2025</v>
      </c>
      <c r="S147" s="68">
        <v>2026</v>
      </c>
      <c r="T147" s="68">
        <v>2027</v>
      </c>
      <c r="U147" s="68">
        <v>2028</v>
      </c>
      <c r="V147" s="69">
        <v>2029</v>
      </c>
      <c r="X147" s="11" t="s">
        <v>19</v>
      </c>
      <c r="Y147" s="105">
        <v>2018</v>
      </c>
      <c r="Z147" s="106">
        <v>2019</v>
      </c>
      <c r="AA147" s="106">
        <v>2020</v>
      </c>
      <c r="AB147" s="106">
        <v>2021</v>
      </c>
      <c r="AC147" s="106">
        <v>2022</v>
      </c>
      <c r="AD147" s="106">
        <v>2023</v>
      </c>
      <c r="AE147" s="107">
        <v>2024</v>
      </c>
    </row>
    <row r="148" spans="1:31" x14ac:dyDescent="0.25">
      <c r="A148" s="13" t="s">
        <v>2</v>
      </c>
      <c r="B148" s="94">
        <v>106.44999999999999</v>
      </c>
      <c r="C148" s="60">
        <f>B148-I150*B148/(B148+B149)</f>
        <v>99.011590621767596</v>
      </c>
      <c r="D148" s="34">
        <f>C148-J150*C148/(C148+C149)</f>
        <v>91.573181243535203</v>
      </c>
      <c r="E148" s="34">
        <f>D148-K150*D148/(D148+D149)</f>
        <v>84.13477186530281</v>
      </c>
      <c r="F148" s="34">
        <f>E148-L150*E148/(E148+E149)</f>
        <v>76.696362487070417</v>
      </c>
      <c r="G148" s="61">
        <f>F148-M150*F148/(F148+F149)</f>
        <v>69.257953108838024</v>
      </c>
      <c r="I148" s="39">
        <v>45</v>
      </c>
      <c r="J148" s="6">
        <v>45</v>
      </c>
      <c r="K148" s="6">
        <v>45</v>
      </c>
      <c r="L148" s="6">
        <v>45</v>
      </c>
      <c r="M148" s="6">
        <v>45</v>
      </c>
      <c r="N148" s="6" t="s">
        <v>38</v>
      </c>
      <c r="O148" s="182"/>
      <c r="P148" s="78"/>
      <c r="Q148" s="228">
        <f>B148*$I$7</f>
        <v>91.688006379938088</v>
      </c>
      <c r="R148" s="231">
        <f t="shared" ref="R148:V149" si="168">C148*$I$7</f>
        <v>85.281121208233415</v>
      </c>
      <c r="S148" s="232">
        <f t="shared" si="168"/>
        <v>78.874236036528728</v>
      </c>
      <c r="T148" s="232">
        <f t="shared" si="168"/>
        <v>72.467350864824056</v>
      </c>
      <c r="U148" s="232">
        <f t="shared" si="168"/>
        <v>66.060465693119369</v>
      </c>
      <c r="V148" s="233">
        <f t="shared" si="168"/>
        <v>59.653580521414696</v>
      </c>
      <c r="X148" s="13" t="s">
        <v>2</v>
      </c>
      <c r="Y148" s="42">
        <v>248</v>
      </c>
      <c r="Z148" s="42">
        <v>232</v>
      </c>
      <c r="AA148" s="42">
        <v>214</v>
      </c>
      <c r="AB148" s="42">
        <v>190.82</v>
      </c>
      <c r="AC148" s="42">
        <v>163.6</v>
      </c>
      <c r="AD148" s="42">
        <v>134.30000000000001</v>
      </c>
      <c r="AE148" s="57">
        <v>106.44999999999999</v>
      </c>
    </row>
    <row r="149" spans="1:31" x14ac:dyDescent="0.25">
      <c r="A149" s="13" t="s">
        <v>3</v>
      </c>
      <c r="B149" s="94">
        <v>328.6</v>
      </c>
      <c r="C149" s="60">
        <f>B149-I150*B149/(B148+B149)</f>
        <v>305.63840937823238</v>
      </c>
      <c r="D149" s="34">
        <f>C149-J150*C149/(C148+C149)</f>
        <v>282.67681875646474</v>
      </c>
      <c r="E149" s="34">
        <f>D149-K150*D149/(D148+D149)</f>
        <v>259.7152281346971</v>
      </c>
      <c r="F149" s="34">
        <f>E149-L150*E149/(E148+E149)</f>
        <v>236.75363751292949</v>
      </c>
      <c r="G149" s="61">
        <f>F149-M150*F149/(F148+F149)</f>
        <v>213.79204689116187</v>
      </c>
      <c r="H149" s="7"/>
      <c r="I149" s="193">
        <f>$N$157</f>
        <v>14.6</v>
      </c>
      <c r="J149" s="194">
        <f>$N$157</f>
        <v>14.6</v>
      </c>
      <c r="K149" s="194">
        <f>$N$158</f>
        <v>14.6</v>
      </c>
      <c r="L149" s="194">
        <f>$N$158</f>
        <v>14.6</v>
      </c>
      <c r="M149" s="194">
        <f>$N$158</f>
        <v>14.6</v>
      </c>
      <c r="N149" s="6" t="s">
        <v>25</v>
      </c>
      <c r="O149" s="182"/>
      <c r="P149" s="78"/>
      <c r="Q149" s="228">
        <f>B149*$I$7</f>
        <v>283.03127192529507</v>
      </c>
      <c r="R149" s="231">
        <f t="shared" si="168"/>
        <v>263.25388848309535</v>
      </c>
      <c r="S149" s="232">
        <f t="shared" si="168"/>
        <v>243.47650504089569</v>
      </c>
      <c r="T149" s="232">
        <f t="shared" si="168"/>
        <v>223.69912159869597</v>
      </c>
      <c r="U149" s="232">
        <f t="shared" si="168"/>
        <v>203.9217381564963</v>
      </c>
      <c r="V149" s="233">
        <f t="shared" si="168"/>
        <v>184.14435471429661</v>
      </c>
      <c r="X149" s="13" t="s">
        <v>3</v>
      </c>
      <c r="Y149" s="42">
        <v>390</v>
      </c>
      <c r="Z149" s="42">
        <v>376</v>
      </c>
      <c r="AA149" s="42">
        <v>369</v>
      </c>
      <c r="AB149" s="42">
        <v>359.68999999999994</v>
      </c>
      <c r="AC149" s="42">
        <v>352.6</v>
      </c>
      <c r="AD149" s="42">
        <v>340.28</v>
      </c>
      <c r="AE149" s="57">
        <v>328.6</v>
      </c>
    </row>
    <row r="150" spans="1:31" x14ac:dyDescent="0.25">
      <c r="A150" s="13" t="s">
        <v>4</v>
      </c>
      <c r="B150" s="94">
        <v>0</v>
      </c>
      <c r="C150" s="60">
        <v>0</v>
      </c>
      <c r="D150" s="34">
        <v>0</v>
      </c>
      <c r="E150" s="34">
        <v>0</v>
      </c>
      <c r="F150" s="34">
        <v>0</v>
      </c>
      <c r="G150" s="61">
        <v>0</v>
      </c>
      <c r="H150" s="7"/>
      <c r="I150" s="193">
        <f>$O$157</f>
        <v>30.4</v>
      </c>
      <c r="J150" s="194">
        <f>$O$157</f>
        <v>30.4</v>
      </c>
      <c r="K150" s="194">
        <f>$O$158</f>
        <v>30.4</v>
      </c>
      <c r="L150" s="194">
        <f>$O$158</f>
        <v>30.4</v>
      </c>
      <c r="M150" s="194">
        <f>$O$158</f>
        <v>30.4</v>
      </c>
      <c r="N150" s="6" t="s">
        <v>26</v>
      </c>
      <c r="O150" s="129"/>
      <c r="Q150" s="228">
        <f>B150*$I$8</f>
        <v>0</v>
      </c>
      <c r="R150" s="231">
        <f t="shared" ref="R150:V151" si="169">C150*$I$8</f>
        <v>0</v>
      </c>
      <c r="S150" s="232">
        <f t="shared" si="169"/>
        <v>0</v>
      </c>
      <c r="T150" s="232">
        <f t="shared" si="169"/>
        <v>0</v>
      </c>
      <c r="U150" s="232">
        <f t="shared" si="169"/>
        <v>0</v>
      </c>
      <c r="V150" s="233">
        <f t="shared" si="169"/>
        <v>0</v>
      </c>
      <c r="X150" s="39" t="s">
        <v>4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57">
        <v>0</v>
      </c>
    </row>
    <row r="151" spans="1:31" x14ac:dyDescent="0.25">
      <c r="A151" s="13" t="s">
        <v>5</v>
      </c>
      <c r="B151" s="94">
        <v>372.52</v>
      </c>
      <c r="C151" s="60">
        <f>B151</f>
        <v>372.52</v>
      </c>
      <c r="D151" s="34">
        <f>C151</f>
        <v>372.52</v>
      </c>
      <c r="E151" s="34">
        <f>D151</f>
        <v>372.52</v>
      </c>
      <c r="F151" s="34">
        <f>E151</f>
        <v>372.52</v>
      </c>
      <c r="G151" s="61">
        <f>F151</f>
        <v>372.52</v>
      </c>
      <c r="H151" s="7"/>
      <c r="I151" s="39">
        <v>3000</v>
      </c>
      <c r="J151" s="6">
        <v>3000</v>
      </c>
      <c r="K151" s="6">
        <v>3000</v>
      </c>
      <c r="L151" s="6">
        <v>3000</v>
      </c>
      <c r="M151" s="6">
        <v>3000</v>
      </c>
      <c r="N151" s="6" t="s">
        <v>11</v>
      </c>
      <c r="O151" s="129"/>
      <c r="Q151" s="228">
        <f>B151*$I$8</f>
        <v>36.040907170209813</v>
      </c>
      <c r="R151" s="231">
        <f t="shared" si="169"/>
        <v>36.040907170209813</v>
      </c>
      <c r="S151" s="232">
        <f t="shared" si="169"/>
        <v>36.040907170209813</v>
      </c>
      <c r="T151" s="232">
        <f t="shared" si="169"/>
        <v>36.040907170209813</v>
      </c>
      <c r="U151" s="232">
        <f t="shared" si="169"/>
        <v>36.040907170209813</v>
      </c>
      <c r="V151" s="233">
        <f t="shared" si="169"/>
        <v>36.040907170209813</v>
      </c>
      <c r="X151" s="13" t="s">
        <v>5</v>
      </c>
      <c r="Y151" s="42">
        <v>377</v>
      </c>
      <c r="Z151" s="42">
        <v>377</v>
      </c>
      <c r="AA151" s="42">
        <v>376</v>
      </c>
      <c r="AB151" s="42">
        <v>374.91</v>
      </c>
      <c r="AC151" s="42">
        <v>374.29999999999995</v>
      </c>
      <c r="AD151" s="42">
        <v>373.30999999999995</v>
      </c>
      <c r="AE151" s="57">
        <v>372.52</v>
      </c>
    </row>
    <row r="152" spans="1:31" x14ac:dyDescent="0.25">
      <c r="A152" s="13" t="s">
        <v>6</v>
      </c>
      <c r="B152" s="94">
        <v>2306.4700000000003</v>
      </c>
      <c r="C152" s="60">
        <f>B152+I148+I164</f>
        <v>2351.4700000000003</v>
      </c>
      <c r="D152" s="34">
        <f>C152+J148+J164</f>
        <v>2396.4700000000003</v>
      </c>
      <c r="E152" s="34">
        <f>D152+K148+K164</f>
        <v>2441.4700000000003</v>
      </c>
      <c r="F152" s="34">
        <f>E152+L148+L164</f>
        <v>2486.4700000000003</v>
      </c>
      <c r="G152" s="61">
        <f>F152+M148+M164</f>
        <v>2531.4700000000003</v>
      </c>
      <c r="H152" s="1"/>
      <c r="I152" s="198" t="s">
        <v>66</v>
      </c>
      <c r="J152" s="6"/>
      <c r="K152" s="6"/>
      <c r="L152" s="6"/>
      <c r="M152" s="6"/>
      <c r="N152" s="6"/>
      <c r="O152" s="129"/>
      <c r="Q152" s="228">
        <f>B152*$I$9</f>
        <v>66.535561962305181</v>
      </c>
      <c r="R152" s="231">
        <f t="shared" ref="R152:V152" si="170">C152*$I$9</f>
        <v>67.833692997308333</v>
      </c>
      <c r="S152" s="232">
        <f t="shared" si="170"/>
        <v>69.131824032311499</v>
      </c>
      <c r="T152" s="232">
        <f t="shared" si="170"/>
        <v>70.429955067314651</v>
      </c>
      <c r="U152" s="232">
        <f t="shared" si="170"/>
        <v>71.728086102317803</v>
      </c>
      <c r="V152" s="233">
        <f t="shared" si="170"/>
        <v>73.02621713732097</v>
      </c>
      <c r="X152" s="13" t="s">
        <v>6</v>
      </c>
      <c r="Y152" s="42">
        <v>1960</v>
      </c>
      <c r="Z152" s="42">
        <v>2018</v>
      </c>
      <c r="AA152" s="42">
        <v>2069</v>
      </c>
      <c r="AB152" s="42">
        <v>2124.4500000000003</v>
      </c>
      <c r="AC152" s="42">
        <v>2175.7799999999997</v>
      </c>
      <c r="AD152" s="42">
        <v>2245.6000000000004</v>
      </c>
      <c r="AE152" s="57">
        <v>2306.4700000000003</v>
      </c>
    </row>
    <row r="153" spans="1:31" x14ac:dyDescent="0.25">
      <c r="A153" s="13" t="s">
        <v>7</v>
      </c>
      <c r="B153" s="94">
        <v>213.5</v>
      </c>
      <c r="C153" s="60">
        <f>B153-I149</f>
        <v>198.9</v>
      </c>
      <c r="D153" s="34">
        <f>C153-J149</f>
        <v>184.3</v>
      </c>
      <c r="E153" s="34">
        <f>D153-K149</f>
        <v>169.70000000000002</v>
      </c>
      <c r="F153" s="34">
        <f>E153-L149</f>
        <v>155.10000000000002</v>
      </c>
      <c r="G153" s="61">
        <f>F153-M149</f>
        <v>140.50000000000003</v>
      </c>
      <c r="H153" s="1"/>
      <c r="I153" s="39"/>
      <c r="J153" s="6"/>
      <c r="K153" s="6"/>
      <c r="L153" s="6"/>
      <c r="M153" s="6"/>
      <c r="N153" s="6"/>
      <c r="O153" s="129"/>
      <c r="Q153" s="228">
        <f>B153*$I$6</f>
        <v>247.07675405567505</v>
      </c>
      <c r="R153" s="231">
        <f t="shared" ref="R153:V155" si="171">C153*$I$6</f>
        <v>230.18063879004106</v>
      </c>
      <c r="S153" s="232">
        <f t="shared" si="171"/>
        <v>213.28452352440709</v>
      </c>
      <c r="T153" s="232">
        <f t="shared" si="171"/>
        <v>196.38840825877313</v>
      </c>
      <c r="U153" s="232">
        <f t="shared" si="171"/>
        <v>179.49229299313913</v>
      </c>
      <c r="V153" s="233">
        <f t="shared" si="171"/>
        <v>162.59617772750516</v>
      </c>
      <c r="X153" s="13" t="s">
        <v>7</v>
      </c>
      <c r="Y153" s="42">
        <v>317</v>
      </c>
      <c r="Z153" s="42">
        <v>297</v>
      </c>
      <c r="AA153" s="42">
        <v>279</v>
      </c>
      <c r="AB153" s="42">
        <v>261.24</v>
      </c>
      <c r="AC153" s="42">
        <v>248.52</v>
      </c>
      <c r="AD153" s="42">
        <v>229.98000000000002</v>
      </c>
      <c r="AE153" s="57">
        <v>213.5</v>
      </c>
    </row>
    <row r="154" spans="1:31" x14ac:dyDescent="0.25">
      <c r="A154" s="13" t="s">
        <v>8</v>
      </c>
      <c r="B154" s="94">
        <v>0</v>
      </c>
      <c r="C154" s="60">
        <v>0</v>
      </c>
      <c r="D154" s="34">
        <v>0</v>
      </c>
      <c r="E154" s="34">
        <v>0</v>
      </c>
      <c r="F154" s="34">
        <v>0</v>
      </c>
      <c r="G154" s="61">
        <v>0</v>
      </c>
      <c r="I154" s="13"/>
      <c r="O154" s="12"/>
      <c r="Q154" s="228">
        <f>B154*$I$6</f>
        <v>0</v>
      </c>
      <c r="R154" s="231">
        <f t="shared" si="171"/>
        <v>0</v>
      </c>
      <c r="S154" s="232">
        <f t="shared" si="171"/>
        <v>0</v>
      </c>
      <c r="T154" s="232">
        <f t="shared" si="171"/>
        <v>0</v>
      </c>
      <c r="U154" s="232">
        <f t="shared" si="171"/>
        <v>0</v>
      </c>
      <c r="V154" s="233">
        <f t="shared" si="171"/>
        <v>0</v>
      </c>
      <c r="X154" s="13" t="s">
        <v>8</v>
      </c>
      <c r="Y154" s="42">
        <v>0</v>
      </c>
      <c r="Z154" s="42">
        <v>0</v>
      </c>
      <c r="AA154" s="42">
        <v>0</v>
      </c>
      <c r="AB154" s="42">
        <v>0</v>
      </c>
      <c r="AC154" s="42">
        <v>0</v>
      </c>
      <c r="AD154" s="42">
        <v>0</v>
      </c>
      <c r="AE154" s="57">
        <v>0</v>
      </c>
    </row>
    <row r="155" spans="1:31" x14ac:dyDescent="0.25">
      <c r="A155" s="13" t="s">
        <v>9</v>
      </c>
      <c r="B155" s="94">
        <v>0</v>
      </c>
      <c r="C155" s="60">
        <v>0</v>
      </c>
      <c r="D155" s="34">
        <v>0</v>
      </c>
      <c r="E155" s="34">
        <v>0</v>
      </c>
      <c r="F155" s="34">
        <v>0</v>
      </c>
      <c r="G155" s="61">
        <v>0</v>
      </c>
      <c r="I155" s="308" t="s">
        <v>80</v>
      </c>
      <c r="J155" s="309"/>
      <c r="K155" s="309"/>
      <c r="L155" s="309"/>
      <c r="M155" s="305" t="s">
        <v>75</v>
      </c>
      <c r="N155" s="306"/>
      <c r="O155" s="307"/>
      <c r="Q155" s="228">
        <f>B155*$I$6</f>
        <v>0</v>
      </c>
      <c r="R155" s="231">
        <f t="shared" si="171"/>
        <v>0</v>
      </c>
      <c r="S155" s="232">
        <f t="shared" si="171"/>
        <v>0</v>
      </c>
      <c r="T155" s="232">
        <f t="shared" si="171"/>
        <v>0</v>
      </c>
      <c r="U155" s="232">
        <f t="shared" si="171"/>
        <v>0</v>
      </c>
      <c r="V155" s="233">
        <f t="shared" si="171"/>
        <v>0</v>
      </c>
      <c r="X155" s="13" t="s">
        <v>9</v>
      </c>
      <c r="Y155" s="42">
        <v>0</v>
      </c>
      <c r="Z155" s="42">
        <v>0</v>
      </c>
      <c r="AA155" s="42">
        <v>0</v>
      </c>
      <c r="AB155" s="42">
        <v>0</v>
      </c>
      <c r="AC155" s="42">
        <v>0</v>
      </c>
      <c r="AD155" s="42">
        <v>0</v>
      </c>
      <c r="AE155" s="57">
        <v>0</v>
      </c>
    </row>
    <row r="156" spans="1:31" x14ac:dyDescent="0.25">
      <c r="A156" s="13" t="s">
        <v>10</v>
      </c>
      <c r="B156" s="94">
        <v>0</v>
      </c>
      <c r="C156" s="60">
        <v>0</v>
      </c>
      <c r="D156" s="34">
        <v>0</v>
      </c>
      <c r="E156" s="34">
        <v>0</v>
      </c>
      <c r="F156" s="34">
        <v>0</v>
      </c>
      <c r="G156" s="61">
        <v>0</v>
      </c>
      <c r="I156" s="81" t="s">
        <v>39</v>
      </c>
      <c r="J156" s="81" t="s">
        <v>38</v>
      </c>
      <c r="K156" s="81" t="s">
        <v>40</v>
      </c>
      <c r="L156" s="82" t="s">
        <v>41</v>
      </c>
      <c r="M156" s="67" t="s">
        <v>78</v>
      </c>
      <c r="N156" s="68" t="s">
        <v>76</v>
      </c>
      <c r="O156" s="192" t="s">
        <v>77</v>
      </c>
      <c r="Q156" s="228">
        <f>B156*$I$7</f>
        <v>0</v>
      </c>
      <c r="R156" s="231">
        <f t="shared" ref="R156:V156" si="172">C156*$I$7</f>
        <v>0</v>
      </c>
      <c r="S156" s="232">
        <f t="shared" si="172"/>
        <v>0</v>
      </c>
      <c r="T156" s="232">
        <f t="shared" si="172"/>
        <v>0</v>
      </c>
      <c r="U156" s="232">
        <f t="shared" si="172"/>
        <v>0</v>
      </c>
      <c r="V156" s="233">
        <f t="shared" si="172"/>
        <v>0</v>
      </c>
      <c r="X156" s="13" t="s">
        <v>10</v>
      </c>
      <c r="Y156" s="42">
        <v>0</v>
      </c>
      <c r="Z156" s="42">
        <v>0</v>
      </c>
      <c r="AA156" s="42">
        <v>0</v>
      </c>
      <c r="AB156" s="42">
        <v>0</v>
      </c>
      <c r="AC156" s="42">
        <v>0</v>
      </c>
      <c r="AD156" s="42">
        <v>0</v>
      </c>
      <c r="AE156" s="57">
        <v>0</v>
      </c>
    </row>
    <row r="157" spans="1:31" x14ac:dyDescent="0.25">
      <c r="A157" s="13" t="s">
        <v>21</v>
      </c>
      <c r="B157" s="94">
        <f>SUM(B148:B156)</f>
        <v>3327.54</v>
      </c>
      <c r="C157" s="60">
        <f t="shared" ref="C157:E157" si="173">SUM(C148:C156)</f>
        <v>3327.5400000000004</v>
      </c>
      <c r="D157" s="34">
        <f t="shared" si="173"/>
        <v>3327.5400000000004</v>
      </c>
      <c r="E157" s="34">
        <f t="shared" si="173"/>
        <v>3327.54</v>
      </c>
      <c r="F157" s="34">
        <f>SUM(F148:F156)</f>
        <v>3327.54</v>
      </c>
      <c r="G157" s="61">
        <f>SUM(G148:G156)</f>
        <v>3327.54</v>
      </c>
      <c r="I157" s="81" t="s">
        <v>44</v>
      </c>
      <c r="J157" s="81">
        <v>225</v>
      </c>
      <c r="K157" s="81">
        <v>73</v>
      </c>
      <c r="L157" s="82">
        <v>152</v>
      </c>
      <c r="M157" s="39">
        <f>225/5</f>
        <v>45</v>
      </c>
      <c r="N157" s="6">
        <f>73/5</f>
        <v>14.6</v>
      </c>
      <c r="O157" s="129">
        <f>152/5</f>
        <v>30.4</v>
      </c>
      <c r="Q157" s="228">
        <f t="shared" ref="Q157:V157" si="174">SUM(Q148:Q156)</f>
        <v>724.37250149342321</v>
      </c>
      <c r="R157" s="231">
        <f t="shared" si="174"/>
        <v>682.59024864888795</v>
      </c>
      <c r="S157" s="232">
        <f t="shared" si="174"/>
        <v>640.8079958043528</v>
      </c>
      <c r="T157" s="232">
        <f t="shared" si="174"/>
        <v>599.02574295981765</v>
      </c>
      <c r="U157" s="232">
        <f t="shared" si="174"/>
        <v>557.24349011528238</v>
      </c>
      <c r="V157" s="233">
        <f t="shared" si="174"/>
        <v>515.46123727074723</v>
      </c>
      <c r="X157" s="13" t="s">
        <v>21</v>
      </c>
      <c r="Y157" s="131">
        <f>SUM(Y148:Y156)</f>
        <v>3292</v>
      </c>
      <c r="Z157" s="44">
        <f>SUM(Z148:Z156)</f>
        <v>3300</v>
      </c>
      <c r="AA157" s="44">
        <f>SUM(AA148:AA156)</f>
        <v>3307</v>
      </c>
      <c r="AB157" s="44">
        <v>3311.1100000000006</v>
      </c>
      <c r="AC157" s="44">
        <f t="shared" ref="AC157:AD157" si="175">SUM(AC148:AC156)</f>
        <v>3314.7999999999997</v>
      </c>
      <c r="AD157" s="44">
        <f t="shared" si="175"/>
        <v>3323.4700000000003</v>
      </c>
      <c r="AE157" s="132">
        <f t="shared" ref="AE157" si="176">SUM(AE148:AE156)</f>
        <v>3327.54</v>
      </c>
    </row>
    <row r="158" spans="1:31" x14ac:dyDescent="0.25">
      <c r="A158" s="11" t="s">
        <v>20</v>
      </c>
      <c r="B158" s="95"/>
      <c r="C158" s="62"/>
      <c r="D158" s="92"/>
      <c r="E158" s="92"/>
      <c r="F158" s="92"/>
      <c r="G158" s="63"/>
      <c r="I158" s="81" t="s">
        <v>45</v>
      </c>
      <c r="J158" s="81">
        <v>225</v>
      </c>
      <c r="K158" s="81">
        <v>73</v>
      </c>
      <c r="L158" s="82">
        <v>152</v>
      </c>
      <c r="M158" s="39">
        <f t="shared" ref="M158:M159" si="177">225/5</f>
        <v>45</v>
      </c>
      <c r="N158" s="6">
        <f t="shared" ref="N158:N159" si="178">73/5</f>
        <v>14.6</v>
      </c>
      <c r="O158" s="129">
        <f t="shared" ref="O158:O159" si="179">152/5</f>
        <v>30.4</v>
      </c>
      <c r="Q158" s="228"/>
      <c r="R158" s="231"/>
      <c r="S158" s="232"/>
      <c r="T158" s="232"/>
      <c r="U158" s="232"/>
      <c r="V158" s="233"/>
      <c r="X158" s="11" t="s">
        <v>20</v>
      </c>
      <c r="Y158" s="62"/>
      <c r="Z158" s="92"/>
      <c r="AA158" s="92"/>
      <c r="AB158" s="92"/>
      <c r="AC158" s="92"/>
      <c r="AD158" s="92"/>
      <c r="AE158" s="63"/>
    </row>
    <row r="159" spans="1:31" x14ac:dyDescent="0.25">
      <c r="A159" s="13" t="s">
        <v>2</v>
      </c>
      <c r="B159" s="86">
        <v>10449</v>
      </c>
      <c r="C159" s="70">
        <f t="shared" ref="C159:G160" si="180">B159-I$151*B159/(B$159+B$160+B$164+B$166)</f>
        <v>8417.7013996889582</v>
      </c>
      <c r="D159" s="52">
        <f t="shared" si="180"/>
        <v>6386.4027993779164</v>
      </c>
      <c r="E159" s="52">
        <f t="shared" si="180"/>
        <v>4355.1041990668746</v>
      </c>
      <c r="F159" s="52">
        <f t="shared" si="180"/>
        <v>2323.8055987558319</v>
      </c>
      <c r="G159" s="47">
        <f t="shared" si="180"/>
        <v>292.50699844479004</v>
      </c>
      <c r="I159" s="81" t="s">
        <v>46</v>
      </c>
      <c r="J159" s="81">
        <v>223</v>
      </c>
      <c r="K159" s="81">
        <v>72</v>
      </c>
      <c r="L159" s="82">
        <v>151</v>
      </c>
      <c r="M159" s="39">
        <f t="shared" si="177"/>
        <v>45</v>
      </c>
      <c r="N159" s="6">
        <f t="shared" si="178"/>
        <v>14.6</v>
      </c>
      <c r="O159" s="129">
        <f t="shared" si="179"/>
        <v>30.4</v>
      </c>
      <c r="Q159" s="228">
        <f>B159*$I$11</f>
        <v>151.37108380262873</v>
      </c>
      <c r="R159" s="231">
        <f t="shared" ref="R159:V160" si="181">C159*$I$11</f>
        <v>121.94435678034476</v>
      </c>
      <c r="S159" s="232">
        <f t="shared" si="181"/>
        <v>92.517629758060792</v>
      </c>
      <c r="T159" s="232">
        <f t="shared" si="181"/>
        <v>63.090902735776837</v>
      </c>
      <c r="U159" s="232">
        <f t="shared" si="181"/>
        <v>33.664175713492853</v>
      </c>
      <c r="V159" s="233">
        <f t="shared" si="181"/>
        <v>4.2374486912088916</v>
      </c>
      <c r="X159" s="13" t="s">
        <v>2</v>
      </c>
      <c r="Y159" s="57">
        <v>19232</v>
      </c>
      <c r="Z159" s="57">
        <v>18151</v>
      </c>
      <c r="AA159" s="57">
        <v>17348</v>
      </c>
      <c r="AB159" s="73">
        <v>15876</v>
      </c>
      <c r="AC159" s="73">
        <v>13113</v>
      </c>
      <c r="AD159" s="57">
        <v>11806</v>
      </c>
      <c r="AE159" s="57">
        <v>10449</v>
      </c>
    </row>
    <row r="160" spans="1:31" x14ac:dyDescent="0.25">
      <c r="A160" s="13" t="s">
        <v>3</v>
      </c>
      <c r="B160" s="86">
        <v>4648</v>
      </c>
      <c r="C160" s="70">
        <f t="shared" si="180"/>
        <v>3744.4230171073095</v>
      </c>
      <c r="D160" s="52">
        <f t="shared" si="180"/>
        <v>2840.8460342146191</v>
      </c>
      <c r="E160" s="52">
        <f t="shared" si="180"/>
        <v>1937.2690513219286</v>
      </c>
      <c r="F160" s="52">
        <f t="shared" si="180"/>
        <v>1033.6920684292381</v>
      </c>
      <c r="G160" s="47">
        <f t="shared" si="180"/>
        <v>130.11508553654744</v>
      </c>
      <c r="I160" s="83" t="s">
        <v>47</v>
      </c>
      <c r="J160" s="32">
        <v>129</v>
      </c>
      <c r="K160" s="32">
        <v>42</v>
      </c>
      <c r="L160" s="32">
        <v>87</v>
      </c>
      <c r="M160" s="195"/>
      <c r="N160" s="196"/>
      <c r="O160" s="197"/>
      <c r="Q160" s="228">
        <f>B160*$I$11</f>
        <v>67.333983875453953</v>
      </c>
      <c r="R160" s="231">
        <f t="shared" si="181"/>
        <v>54.244173635280163</v>
      </c>
      <c r="S160" s="232">
        <f t="shared" si="181"/>
        <v>41.15436339510638</v>
      </c>
      <c r="T160" s="232">
        <f t="shared" si="181"/>
        <v>28.064553154932597</v>
      </c>
      <c r="U160" s="232">
        <f t="shared" si="181"/>
        <v>14.974742914758814</v>
      </c>
      <c r="V160" s="233">
        <f t="shared" si="181"/>
        <v>1.8849326745850252</v>
      </c>
      <c r="X160" s="13" t="s">
        <v>3</v>
      </c>
      <c r="Y160" s="57">
        <v>9252</v>
      </c>
      <c r="Z160" s="57">
        <v>8268</v>
      </c>
      <c r="AA160" s="57">
        <v>7908</v>
      </c>
      <c r="AB160" s="73">
        <v>7210</v>
      </c>
      <c r="AC160" s="73">
        <v>6054</v>
      </c>
      <c r="AD160" s="57">
        <v>5263</v>
      </c>
      <c r="AE160" s="57">
        <v>4648</v>
      </c>
    </row>
    <row r="161" spans="1:31" x14ac:dyDescent="0.25">
      <c r="A161" s="13" t="s">
        <v>4</v>
      </c>
      <c r="B161" s="86">
        <v>0</v>
      </c>
      <c r="C161" s="70">
        <v>0</v>
      </c>
      <c r="D161" s="52"/>
      <c r="E161" s="52"/>
      <c r="F161" s="52"/>
      <c r="G161" s="47"/>
      <c r="I161" s="13"/>
      <c r="O161" s="12"/>
      <c r="Q161" s="228">
        <f>B161*$I$12</f>
        <v>0</v>
      </c>
      <c r="R161" s="231">
        <f t="shared" ref="R161:V162" si="182">C161*$I$12</f>
        <v>0</v>
      </c>
      <c r="S161" s="232">
        <f t="shared" si="182"/>
        <v>0</v>
      </c>
      <c r="T161" s="232">
        <f t="shared" si="182"/>
        <v>0</v>
      </c>
      <c r="U161" s="232">
        <f t="shared" si="182"/>
        <v>0</v>
      </c>
      <c r="V161" s="233">
        <f t="shared" si="182"/>
        <v>0</v>
      </c>
      <c r="X161" s="39" t="s">
        <v>4</v>
      </c>
      <c r="Y161" s="57">
        <v>0</v>
      </c>
      <c r="Z161" s="57">
        <v>0</v>
      </c>
      <c r="AA161" s="57">
        <v>0</v>
      </c>
      <c r="AB161" s="73">
        <v>0</v>
      </c>
      <c r="AC161" s="73">
        <v>0</v>
      </c>
      <c r="AD161" s="57">
        <v>0</v>
      </c>
      <c r="AE161" s="57">
        <v>0</v>
      </c>
    </row>
    <row r="162" spans="1:31" x14ac:dyDescent="0.25">
      <c r="A162" s="13" t="s">
        <v>5</v>
      </c>
      <c r="B162" s="86">
        <v>17893</v>
      </c>
      <c r="C162" s="70">
        <f>B162</f>
        <v>17893</v>
      </c>
      <c r="D162" s="52">
        <f t="shared" ref="D162:G162" si="183">C162</f>
        <v>17893</v>
      </c>
      <c r="E162" s="52">
        <f t="shared" si="183"/>
        <v>17893</v>
      </c>
      <c r="F162" s="52">
        <f t="shared" si="183"/>
        <v>17893</v>
      </c>
      <c r="G162" s="47">
        <f t="shared" si="183"/>
        <v>17893</v>
      </c>
      <c r="I162" s="13"/>
      <c r="O162" s="12"/>
      <c r="Q162" s="228">
        <f>B162*$I$12</f>
        <v>23.176019223414134</v>
      </c>
      <c r="R162" s="231">
        <f t="shared" si="182"/>
        <v>23.176019223414134</v>
      </c>
      <c r="S162" s="232">
        <f t="shared" si="182"/>
        <v>23.176019223414134</v>
      </c>
      <c r="T162" s="232">
        <f t="shared" si="182"/>
        <v>23.176019223414134</v>
      </c>
      <c r="U162" s="232">
        <f t="shared" si="182"/>
        <v>23.176019223414134</v>
      </c>
      <c r="V162" s="233">
        <f t="shared" si="182"/>
        <v>23.176019223414134</v>
      </c>
      <c r="X162" s="13" t="s">
        <v>5</v>
      </c>
      <c r="Y162" s="57">
        <v>19087</v>
      </c>
      <c r="Z162" s="57">
        <v>19062</v>
      </c>
      <c r="AA162" s="57">
        <v>18963</v>
      </c>
      <c r="AB162" s="73">
        <v>18781</v>
      </c>
      <c r="AC162" s="73">
        <v>18282</v>
      </c>
      <c r="AD162" s="57">
        <v>18067</v>
      </c>
      <c r="AE162" s="57">
        <v>17893</v>
      </c>
    </row>
    <row r="163" spans="1:31" x14ac:dyDescent="0.25">
      <c r="A163" s="13" t="s">
        <v>6</v>
      </c>
      <c r="B163" s="86">
        <v>177874</v>
      </c>
      <c r="C163" s="70">
        <f>B163+I151+I165</f>
        <v>180874</v>
      </c>
      <c r="D163" s="52">
        <f>C163+J151+J165</f>
        <v>183874</v>
      </c>
      <c r="E163" s="52">
        <f>D163+K151+K165</f>
        <v>186874</v>
      </c>
      <c r="F163" s="52">
        <f>E163+L151+L165</f>
        <v>189874</v>
      </c>
      <c r="G163" s="47">
        <f>F163+M151+M165</f>
        <v>192874</v>
      </c>
      <c r="I163" s="39" t="s">
        <v>64</v>
      </c>
      <c r="J163" s="6"/>
      <c r="K163" s="6"/>
      <c r="L163" s="6"/>
      <c r="M163" s="6"/>
      <c r="N163" s="6"/>
      <c r="O163" s="77"/>
      <c r="Q163" s="228">
        <f>B163*$I$13</f>
        <v>46.779794862113405</v>
      </c>
      <c r="R163" s="231">
        <f t="shared" ref="R163:V163" si="184">C163*$I$13</f>
        <v>47.568776863903103</v>
      </c>
      <c r="S163" s="232">
        <f t="shared" si="184"/>
        <v>48.357758865692794</v>
      </c>
      <c r="T163" s="232">
        <f t="shared" si="184"/>
        <v>49.146740867482492</v>
      </c>
      <c r="U163" s="232">
        <f t="shared" si="184"/>
        <v>49.935722869272183</v>
      </c>
      <c r="V163" s="233">
        <f t="shared" si="184"/>
        <v>50.724704871061881</v>
      </c>
      <c r="X163" s="13" t="s">
        <v>6</v>
      </c>
      <c r="Y163" s="57">
        <v>156777</v>
      </c>
      <c r="Z163" s="57">
        <v>160733</v>
      </c>
      <c r="AA163" s="57">
        <v>163356</v>
      </c>
      <c r="AB163" s="73">
        <v>166730</v>
      </c>
      <c r="AC163" s="73">
        <v>172162</v>
      </c>
      <c r="AD163" s="57">
        <v>175212</v>
      </c>
      <c r="AE163" s="57">
        <v>177874</v>
      </c>
    </row>
    <row r="164" spans="1:31" x14ac:dyDescent="0.25">
      <c r="A164" s="13" t="s">
        <v>7</v>
      </c>
      <c r="B164" s="86">
        <v>7</v>
      </c>
      <c r="C164" s="70">
        <f>B164-I$151*B164/(B$159+B$160+B$164+B$166)</f>
        <v>5.639191290824261</v>
      </c>
      <c r="D164" s="52">
        <f>C164-J$151*C164/(C$159+C$160+C$164+C$166)</f>
        <v>4.2783825816485219</v>
      </c>
      <c r="E164" s="52">
        <f>D164-K$151*D164/(D$159+D$160+D$164+D$166)</f>
        <v>2.9175738724727838</v>
      </c>
      <c r="F164" s="52">
        <f>E164-L$151*E164/(E$159+E$160+E$164+E$166)</f>
        <v>1.5567651632970452</v>
      </c>
      <c r="G164" s="47">
        <f>F164-M$151*F164/(F$159+F$160+F$164+F$166)</f>
        <v>0.19595645412130636</v>
      </c>
      <c r="I164" s="190">
        <v>0</v>
      </c>
      <c r="J164" s="188">
        <v>0</v>
      </c>
      <c r="K164" s="188">
        <v>0</v>
      </c>
      <c r="L164" s="188">
        <v>0</v>
      </c>
      <c r="M164" s="188">
        <v>0</v>
      </c>
      <c r="N164" s="6" t="s">
        <v>12</v>
      </c>
      <c r="O164" s="12"/>
      <c r="Q164" s="228">
        <f>B164*$I$11</f>
        <v>0.10140660222206921</v>
      </c>
      <c r="R164" s="231">
        <f t="shared" ref="R164:V165" si="185">C164*$I$11</f>
        <v>8.169303258325325E-2</v>
      </c>
      <c r="S164" s="232">
        <f t="shared" si="185"/>
        <v>6.1979462944437312E-2</v>
      </c>
      <c r="T164" s="232">
        <f t="shared" si="185"/>
        <v>4.2265893305621374E-2</v>
      </c>
      <c r="U164" s="232">
        <f t="shared" si="185"/>
        <v>2.2552323666805436E-2</v>
      </c>
      <c r="V164" s="233">
        <f t="shared" si="185"/>
        <v>2.8387540279894955E-3</v>
      </c>
      <c r="X164" s="13" t="s">
        <v>7</v>
      </c>
      <c r="Y164" s="57">
        <v>8</v>
      </c>
      <c r="Z164" s="57">
        <v>8</v>
      </c>
      <c r="AA164" s="57">
        <v>8</v>
      </c>
      <c r="AB164" s="73">
        <v>8</v>
      </c>
      <c r="AC164" s="73">
        <v>8</v>
      </c>
      <c r="AD164" s="57">
        <v>8</v>
      </c>
      <c r="AE164" s="57">
        <v>7</v>
      </c>
    </row>
    <row r="165" spans="1:31" x14ac:dyDescent="0.25">
      <c r="A165" s="13" t="s">
        <v>8</v>
      </c>
      <c r="B165" s="86">
        <v>0</v>
      </c>
      <c r="C165" s="70">
        <v>0</v>
      </c>
      <c r="D165" s="52"/>
      <c r="E165" s="52"/>
      <c r="F165" s="52"/>
      <c r="G165" s="47"/>
      <c r="I165" s="190">
        <v>0</v>
      </c>
      <c r="J165" s="188">
        <v>0</v>
      </c>
      <c r="K165" s="188">
        <v>0</v>
      </c>
      <c r="L165" s="188">
        <v>0</v>
      </c>
      <c r="M165" s="188">
        <v>0</v>
      </c>
      <c r="N165" s="6" t="s">
        <v>11</v>
      </c>
      <c r="O165" s="12"/>
      <c r="Q165" s="228">
        <f>B165*$I$11</f>
        <v>0</v>
      </c>
      <c r="R165" s="231">
        <f t="shared" si="185"/>
        <v>0</v>
      </c>
      <c r="S165" s="232">
        <f t="shared" si="185"/>
        <v>0</v>
      </c>
      <c r="T165" s="232">
        <f t="shared" si="185"/>
        <v>0</v>
      </c>
      <c r="U165" s="232">
        <f t="shared" si="185"/>
        <v>0</v>
      </c>
      <c r="V165" s="233">
        <f t="shared" si="185"/>
        <v>0</v>
      </c>
      <c r="X165" s="13" t="s">
        <v>8</v>
      </c>
      <c r="Y165" s="57">
        <v>0</v>
      </c>
      <c r="Z165" s="57">
        <v>0</v>
      </c>
      <c r="AA165" s="57">
        <v>0</v>
      </c>
      <c r="AB165" s="73">
        <v>0</v>
      </c>
      <c r="AC165" s="73">
        <v>0</v>
      </c>
      <c r="AD165" s="57">
        <v>0</v>
      </c>
      <c r="AE165" s="57">
        <v>0</v>
      </c>
    </row>
    <row r="166" spans="1:31" x14ac:dyDescent="0.25">
      <c r="A166" s="13" t="s">
        <v>9</v>
      </c>
      <c r="B166" s="86">
        <v>328</v>
      </c>
      <c r="C166" s="51">
        <f>B166-I$151*B166/(B$159+B$160+B$164+B$166)</f>
        <v>264.23639191290823</v>
      </c>
      <c r="D166" s="37">
        <f>C166-J$151*C166/(C$159+C$160+C$164+C$166)</f>
        <v>200.47278382581646</v>
      </c>
      <c r="E166" s="37">
        <f>D166-K$151*D166/(D$159+D$160+D$164+D$166)</f>
        <v>136.7091757387247</v>
      </c>
      <c r="F166" s="37">
        <f>E166-L$151*E166/(E$159+E$160+E$164+E$166)</f>
        <v>72.945567651632956</v>
      </c>
      <c r="G166" s="80">
        <f>F166-M$151*F166/(F$159+F$160+F$164+F$166)</f>
        <v>9.1819595645412093</v>
      </c>
      <c r="I166" s="13"/>
      <c r="O166" s="12"/>
      <c r="Q166" s="228">
        <f>B166*$I$14</f>
        <v>1.6066474104353337</v>
      </c>
      <c r="R166" s="231">
        <f t="shared" ref="R166:V166" si="186">C166*$I$14</f>
        <v>1.2943131549074693</v>
      </c>
      <c r="S166" s="232">
        <f t="shared" si="186"/>
        <v>0.98197889937960503</v>
      </c>
      <c r="T166" s="232">
        <f t="shared" si="186"/>
        <v>0.66964464385174072</v>
      </c>
      <c r="U166" s="232">
        <f t="shared" si="186"/>
        <v>0.35731038832387663</v>
      </c>
      <c r="V166" s="233">
        <f t="shared" si="186"/>
        <v>4.4976132796012432E-2</v>
      </c>
      <c r="X166" s="13" t="s">
        <v>9</v>
      </c>
      <c r="Y166" s="57">
        <v>591</v>
      </c>
      <c r="Z166" s="57">
        <v>543</v>
      </c>
      <c r="AA166" s="57">
        <v>483</v>
      </c>
      <c r="AB166" s="73">
        <v>445</v>
      </c>
      <c r="AC166" s="73">
        <v>393</v>
      </c>
      <c r="AD166" s="57">
        <v>365</v>
      </c>
      <c r="AE166" s="57">
        <v>328</v>
      </c>
    </row>
    <row r="167" spans="1:31" x14ac:dyDescent="0.25">
      <c r="A167" s="13" t="s">
        <v>10</v>
      </c>
      <c r="B167" s="86">
        <v>0</v>
      </c>
      <c r="C167" s="70">
        <v>0</v>
      </c>
      <c r="D167" s="52"/>
      <c r="E167" s="52"/>
      <c r="F167" s="52"/>
      <c r="G167" s="47"/>
      <c r="I167" s="13"/>
      <c r="O167" s="12"/>
      <c r="Q167" s="228">
        <f>B167*$I$11</f>
        <v>0</v>
      </c>
      <c r="R167" s="231">
        <f t="shared" ref="R167:V167" si="187">C167*$I$11</f>
        <v>0</v>
      </c>
      <c r="S167" s="232">
        <f t="shared" si="187"/>
        <v>0</v>
      </c>
      <c r="T167" s="232">
        <f t="shared" si="187"/>
        <v>0</v>
      </c>
      <c r="U167" s="232">
        <f t="shared" si="187"/>
        <v>0</v>
      </c>
      <c r="V167" s="233">
        <f t="shared" si="187"/>
        <v>0</v>
      </c>
      <c r="X167" s="13" t="s">
        <v>10</v>
      </c>
      <c r="Y167" s="57">
        <v>0</v>
      </c>
      <c r="Z167" s="57">
        <v>0</v>
      </c>
      <c r="AA167" s="57">
        <v>0</v>
      </c>
      <c r="AB167" s="73">
        <v>0</v>
      </c>
      <c r="AC167" s="73">
        <v>0</v>
      </c>
      <c r="AD167" s="57">
        <v>0</v>
      </c>
      <c r="AE167" s="57">
        <v>0</v>
      </c>
    </row>
    <row r="168" spans="1:31" x14ac:dyDescent="0.25">
      <c r="A168" s="13" t="s">
        <v>22</v>
      </c>
      <c r="B168" s="86">
        <f t="shared" ref="B168:C168" si="188">SUM(B159:B167)</f>
        <v>211199</v>
      </c>
      <c r="C168" s="70">
        <f t="shared" si="188"/>
        <v>211199</v>
      </c>
      <c r="D168" s="52">
        <f t="shared" ref="D168:G168" si="189">SUM(D159:D167)</f>
        <v>211199.00000000003</v>
      </c>
      <c r="E168" s="52">
        <f t="shared" si="189"/>
        <v>211199</v>
      </c>
      <c r="F168" s="52">
        <f t="shared" si="189"/>
        <v>211198.99999999997</v>
      </c>
      <c r="G168" s="47">
        <f t="shared" si="189"/>
        <v>211199</v>
      </c>
      <c r="I168" s="119"/>
      <c r="J168" s="126"/>
      <c r="K168" s="126"/>
      <c r="L168" s="126"/>
      <c r="M168" s="126"/>
      <c r="N168" s="126"/>
      <c r="O168" s="12"/>
      <c r="Q168" s="228">
        <f t="shared" ref="Q168" si="190">SUM(Q159:Q167)</f>
        <v>290.36893577626768</v>
      </c>
      <c r="R168" s="231">
        <f t="shared" ref="R168:V168" si="191">SUM(R159:R167)</f>
        <v>248.30933269043288</v>
      </c>
      <c r="S168" s="232">
        <f t="shared" si="191"/>
        <v>206.24972960459814</v>
      </c>
      <c r="T168" s="232">
        <f t="shared" si="191"/>
        <v>164.19012651876344</v>
      </c>
      <c r="U168" s="232">
        <f t="shared" si="191"/>
        <v>122.13052343292867</v>
      </c>
      <c r="V168" s="233">
        <f t="shared" si="191"/>
        <v>80.070920347093931</v>
      </c>
      <c r="X168" s="13" t="s">
        <v>22</v>
      </c>
      <c r="Y168" s="140">
        <f>SUM(Y159:Y167)</f>
        <v>204947</v>
      </c>
      <c r="Z168" s="24">
        <f>SUM(Z159:Z167)</f>
        <v>206765</v>
      </c>
      <c r="AA168" s="24">
        <f>SUM(AA159:AA167)</f>
        <v>208066</v>
      </c>
      <c r="AB168" s="24">
        <f t="shared" ref="AB168:AD168" si="192">SUM(AB159:AB167)</f>
        <v>209050</v>
      </c>
      <c r="AC168" s="24">
        <f t="shared" si="192"/>
        <v>210012</v>
      </c>
      <c r="AD168" s="24">
        <f t="shared" si="192"/>
        <v>210721</v>
      </c>
      <c r="AE168" s="137">
        <f t="shared" ref="AE168" si="193">SUM(AE159:AE167)</f>
        <v>211199</v>
      </c>
    </row>
    <row r="169" spans="1:31" x14ac:dyDescent="0.25">
      <c r="A169" s="14" t="s">
        <v>1</v>
      </c>
      <c r="B169" s="96"/>
      <c r="C169" s="64"/>
      <c r="D169" s="49"/>
      <c r="E169" s="49"/>
      <c r="F169" s="49"/>
      <c r="G169" s="65"/>
      <c r="I169" s="14"/>
      <c r="J169" s="75"/>
      <c r="K169" s="75"/>
      <c r="L169" s="75"/>
      <c r="M169" s="75"/>
      <c r="N169" s="75"/>
      <c r="O169" s="127"/>
      <c r="P169" s="98"/>
      <c r="Q169" s="230">
        <f t="shared" ref="Q169" si="194">Q157+Q168</f>
        <v>1014.7414372696909</v>
      </c>
      <c r="R169" s="234">
        <f t="shared" ref="R169:V169" si="195">R157+R168</f>
        <v>930.89958133932078</v>
      </c>
      <c r="S169" s="235">
        <f t="shared" si="195"/>
        <v>847.057725408951</v>
      </c>
      <c r="T169" s="235">
        <f t="shared" si="195"/>
        <v>763.21586947858111</v>
      </c>
      <c r="U169" s="235">
        <f t="shared" si="195"/>
        <v>679.374013548211</v>
      </c>
      <c r="V169" s="236">
        <f t="shared" si="195"/>
        <v>595.53215761784122</v>
      </c>
      <c r="X169" s="14"/>
      <c r="Y169" s="108"/>
      <c r="Z169" s="138"/>
      <c r="AA169" s="138"/>
      <c r="AB169" s="138"/>
      <c r="AC169" s="138"/>
      <c r="AD169" s="138"/>
      <c r="AE169" s="139"/>
    </row>
  </sheetData>
  <mergeCells count="23">
    <mergeCell ref="I155:L155"/>
    <mergeCell ref="M155:O155"/>
    <mergeCell ref="X20:AE20"/>
    <mergeCell ref="Q96:V96"/>
    <mergeCell ref="C121:G121"/>
    <mergeCell ref="C71:G71"/>
    <mergeCell ref="C96:G96"/>
    <mergeCell ref="B3:G3"/>
    <mergeCell ref="Q121:V121"/>
    <mergeCell ref="Q71:V71"/>
    <mergeCell ref="Q146:V146"/>
    <mergeCell ref="Q46:V46"/>
    <mergeCell ref="C4:G4"/>
    <mergeCell ref="Q21:V21"/>
    <mergeCell ref="I20:O20"/>
    <mergeCell ref="Q20:V20"/>
    <mergeCell ref="B20:G20"/>
    <mergeCell ref="C21:G21"/>
    <mergeCell ref="C146:G146"/>
    <mergeCell ref="C46:G46"/>
    <mergeCell ref="M55:O55"/>
    <mergeCell ref="I55:L55"/>
    <mergeCell ref="I28:O30"/>
  </mergeCells>
  <hyperlinks>
    <hyperlink ref="I18" r:id="rId1" display="https://www.epa.gov/ghgemissions/natural-gas-and-petroleum-systems-ghg-inventory-additional-information-1990-2022-ghg" xr:uid="{0F38FA2E-00B5-414F-9BA7-4EC1AF5CBCD9}"/>
  </hyperlinks>
  <pageMargins left="0.5" right="0.5" top="0.5" bottom="0.25" header="0.3" footer="0.3"/>
  <pageSetup scale="46" fitToHeight="0" orientation="portrait" r:id="rId2"/>
  <headerFooter>
    <oddFooter>&amp;R&amp;P</oddFooter>
  </headerFooter>
  <rowBreaks count="1" manualBreakCount="1">
    <brk id="7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48B8951B32C44A8ABF1C6EE626DEA0" ma:contentTypeVersion="14" ma:contentTypeDescription="Create a new document." ma:contentTypeScope="" ma:versionID="e1de97e9fad790589c995f2fd6908ca1">
  <xsd:schema xmlns:xsd="http://www.w3.org/2001/XMLSchema" xmlns:xs="http://www.w3.org/2001/XMLSchema" xmlns:p="http://schemas.microsoft.com/office/2006/metadata/properties" xmlns:ns2="97c241f7-0c18-4008-861b-5a676167a037" xmlns:ns3="7b83dbe2-6fd2-449a-a932-0d75829bf641" targetNamespace="http://schemas.microsoft.com/office/2006/metadata/properties" ma:root="true" ma:fieldsID="028807c4302521888c26547346257e93" ns2:_="" ns3:_="">
    <xsd:import namespace="97c241f7-0c18-4008-861b-5a676167a037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c241f7-0c18-4008-861b-5a676167a0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0e1eecbb-5736-4a27-a3d9-8cd4d931ca33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7c241f7-0c18-4008-861b-5a676167a037">
      <Terms xmlns="http://schemas.microsoft.com/office/infopath/2007/PartnerControls"/>
    </lcf76f155ced4ddcb4097134ff3c332f>
    <TaxCatchAll xmlns="7b83dbe2-6fd2-449a-a932-0d75829bf64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079DE104-3932-4E70-9D2F-3F526417B4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c241f7-0c18-4008-861b-5a676167a037"/>
    <ds:schemaRef ds:uri="7b83dbe2-6fd2-449a-a932-0d75829bf6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5B17CB7C-8369-4532-997D-2E211B2C5788}">
  <ds:schemaRefs>
    <ds:schemaRef ds:uri="http://schemas.microsoft.com/office/2006/documentManagement/types"/>
    <ds:schemaRef ds:uri="http://purl.org/dc/elements/1.1/"/>
    <ds:schemaRef ds:uri="8f2fdac3-5421-455f-b4e4-df6141b3176a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6d1ab2f6-91f9-4f14-952a-3f3eb0d68341"/>
    <ds:schemaRef ds:uri="http://purl.org/dc/terms/"/>
    <ds:schemaRef ds:uri="97c241f7-0c18-4008-861b-5a676167a037"/>
    <ds:schemaRef ds:uri="7b83dbe2-6fd2-449a-a932-0d75829bf641"/>
  </ds:schemaRefs>
</ds:datastoreItem>
</file>

<file path=customXml/itemProps3.xml><?xml version="1.0" encoding="utf-8"?>
<ds:datastoreItem xmlns:ds="http://purl.oclc.org/ooxml/officeDocument/customXml" ds:itemID="{F31C5C7D-EE20-49A4-A1DF-E21258FB880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Stakeholder Memo Table 3</vt:lpstr>
      <vt:lpstr>Stakeholder Memo Table 4</vt:lpstr>
      <vt:lpstr>Stakeholder Memo Table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2016-11-25T01:10:52Z</dcterms:created>
  <dcterms:modified xsi:type="dcterms:W3CDTF">2025-12-03T17:02:53Z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0x0101003F48B8951B32C44A8ABF1C6EE626DEA0</vt:lpwstr>
  </property>
  <property fmtid="{D5CDD505-2E9C-101B-9397-08002B2CF9AE}" pid="3" name="Order">
    <vt:r8>89600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ediaServiceImageTags">
    <vt:lpwstr/>
  </property>
</Properties>
</file>